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0" yWindow="0" windowWidth="24740" windowHeight="15560" tabRatio="917" firstSheet="1" activeTab="5"/>
  </bookViews>
  <sheets>
    <sheet name="Variable Rates" sheetId="2" r:id="rId1"/>
    <sheet name="APOD" sheetId="1" r:id="rId2"/>
    <sheet name="10 Yr Ratios" sheetId="4" r:id="rId3"/>
    <sheet name="10 Yr BTCF" sheetId="3" r:id="rId4"/>
    <sheet name="10 Yr ATCF" sheetId="5" r:id="rId5"/>
    <sheet name="10 Yr Unleveraged ATCF" sheetId="6" r:id="rId6"/>
    <sheet name="10 Yr IRR Profile &amp; Partition" sheetId="7" r:id="rId7"/>
    <sheet name="10 Yr IRR MIRR GPV NPV" sheetId="8" r:id="rId8"/>
    <sheet name="5 Yr BTCF" sheetId="10" r:id="rId9"/>
    <sheet name="5 Yr ATCF" sheetId="11" r:id="rId10"/>
    <sheet name="5 Yr Unleveraged ATCF" sheetId="12" r:id="rId11"/>
    <sheet name="5 Yr IRR Profile &amp; Partition" sheetId="13" r:id="rId12"/>
    <sheet name="5 Yr IRR MIRR GPV NPV" sheetId="14" r:id="rId1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6" l="1"/>
  <c r="C33" i="6"/>
  <c r="C31" i="6"/>
  <c r="D23" i="1"/>
  <c r="B18" i="3"/>
  <c r="D24" i="1"/>
  <c r="B19" i="3"/>
  <c r="B20" i="3"/>
  <c r="B21" i="3"/>
  <c r="D47" i="1"/>
  <c r="B22" i="3"/>
  <c r="B23" i="3"/>
  <c r="G8" i="1"/>
  <c r="G10" i="1"/>
  <c r="G6" i="1"/>
  <c r="G11" i="1"/>
  <c r="G12" i="1"/>
  <c r="B14" i="3"/>
  <c r="B24" i="3"/>
  <c r="B25" i="3"/>
  <c r="B18" i="5"/>
  <c r="B25" i="5"/>
  <c r="C14" i="1"/>
  <c r="D12" i="1"/>
  <c r="C19" i="5"/>
  <c r="B19" i="5"/>
  <c r="B8" i="3"/>
  <c r="B9" i="3"/>
  <c r="B13" i="3"/>
  <c r="B30" i="3"/>
  <c r="B34" i="3"/>
  <c r="B20" i="5"/>
  <c r="B21" i="5"/>
  <c r="B22" i="5"/>
  <c r="B23" i="5"/>
  <c r="B26" i="5"/>
  <c r="B27" i="5"/>
  <c r="B42" i="5"/>
  <c r="B6" i="5"/>
  <c r="E11" i="5"/>
  <c r="B8" i="5"/>
  <c r="E12" i="5"/>
  <c r="E13" i="5"/>
  <c r="A42" i="5"/>
  <c r="G37" i="5"/>
  <c r="G36" i="5"/>
  <c r="C33" i="3"/>
  <c r="D33" i="3"/>
  <c r="E33" i="3"/>
  <c r="F33" i="3"/>
  <c r="G33" i="3"/>
  <c r="H33" i="3"/>
  <c r="I33" i="3"/>
  <c r="J33" i="3"/>
  <c r="K33" i="3"/>
  <c r="K30" i="3"/>
  <c r="K34" i="5"/>
  <c r="D19" i="5"/>
  <c r="E19" i="5"/>
  <c r="F19" i="5"/>
  <c r="G19" i="5"/>
  <c r="H19" i="5"/>
  <c r="I19" i="5"/>
  <c r="J19" i="5"/>
  <c r="K19" i="5"/>
  <c r="C32" i="5"/>
  <c r="G34" i="5"/>
  <c r="C30" i="5"/>
  <c r="C31" i="5"/>
  <c r="C33" i="5"/>
  <c r="G32" i="5"/>
  <c r="K22" i="5"/>
  <c r="J22" i="5"/>
  <c r="I22" i="5"/>
  <c r="H22" i="5"/>
  <c r="G22" i="5"/>
  <c r="F22" i="5"/>
  <c r="E22" i="5"/>
  <c r="D22" i="5"/>
  <c r="C22" i="5"/>
  <c r="J30" i="3"/>
  <c r="K34" i="3"/>
  <c r="K20" i="5"/>
  <c r="I30" i="3"/>
  <c r="J34" i="3"/>
  <c r="J20" i="5"/>
  <c r="H30" i="3"/>
  <c r="I34" i="3"/>
  <c r="I20" i="5"/>
  <c r="G30" i="3"/>
  <c r="H34" i="3"/>
  <c r="H20" i="5"/>
  <c r="F30" i="3"/>
  <c r="G34" i="3"/>
  <c r="G20" i="5"/>
  <c r="E30" i="3"/>
  <c r="F34" i="3"/>
  <c r="F20" i="5"/>
  <c r="D30" i="3"/>
  <c r="E34" i="3"/>
  <c r="E20" i="5"/>
  <c r="C30" i="3"/>
  <c r="D34" i="3"/>
  <c r="D20" i="5"/>
  <c r="C34" i="3"/>
  <c r="C20" i="5"/>
  <c r="B14" i="5"/>
  <c r="B13" i="5"/>
  <c r="B12" i="5"/>
  <c r="H11" i="5"/>
  <c r="B11" i="5"/>
  <c r="G25" i="1"/>
  <c r="B10" i="5"/>
  <c r="B9" i="5"/>
  <c r="E8" i="5"/>
  <c r="H7" i="5"/>
  <c r="G15" i="1"/>
  <c r="E7" i="5"/>
  <c r="B7" i="5"/>
  <c r="E6" i="5"/>
  <c r="C18" i="3"/>
  <c r="C19" i="3"/>
  <c r="C20" i="3"/>
  <c r="C21" i="3"/>
  <c r="C22" i="3"/>
  <c r="C23" i="3"/>
  <c r="C24" i="3"/>
  <c r="C25" i="3"/>
  <c r="C18" i="5"/>
  <c r="C25" i="5"/>
  <c r="C21" i="5"/>
  <c r="C23" i="5"/>
  <c r="C26" i="5"/>
  <c r="C27" i="5"/>
  <c r="C42" i="5"/>
  <c r="D18" i="3"/>
  <c r="D19" i="3"/>
  <c r="D20" i="3"/>
  <c r="D21" i="3"/>
  <c r="D22" i="3"/>
  <c r="D23" i="3"/>
  <c r="D24" i="3"/>
  <c r="D25" i="3"/>
  <c r="D18" i="5"/>
  <c r="D25" i="5"/>
  <c r="D21" i="5"/>
  <c r="D23" i="5"/>
  <c r="D26" i="5"/>
  <c r="D27" i="5"/>
  <c r="D42" i="5"/>
  <c r="E18" i="3"/>
  <c r="E19" i="3"/>
  <c r="E20" i="3"/>
  <c r="E21" i="3"/>
  <c r="E22" i="3"/>
  <c r="E23" i="3"/>
  <c r="E24" i="3"/>
  <c r="E25" i="3"/>
  <c r="E18" i="5"/>
  <c r="E25" i="5"/>
  <c r="E21" i="5"/>
  <c r="E23" i="5"/>
  <c r="E26" i="5"/>
  <c r="E27" i="5"/>
  <c r="E42" i="5"/>
  <c r="F18" i="3"/>
  <c r="F19" i="3"/>
  <c r="F20" i="3"/>
  <c r="F21" i="3"/>
  <c r="F22" i="3"/>
  <c r="F23" i="3"/>
  <c r="F24" i="3"/>
  <c r="F25" i="3"/>
  <c r="F18" i="5"/>
  <c r="F25" i="5"/>
  <c r="F21" i="5"/>
  <c r="F23" i="5"/>
  <c r="F26" i="5"/>
  <c r="F27" i="5"/>
  <c r="F42" i="5"/>
  <c r="G18" i="3"/>
  <c r="G19" i="3"/>
  <c r="G20" i="3"/>
  <c r="G21" i="3"/>
  <c r="G22" i="3"/>
  <c r="G23" i="3"/>
  <c r="G24" i="3"/>
  <c r="G25" i="3"/>
  <c r="G18" i="5"/>
  <c r="G25" i="5"/>
  <c r="G21" i="5"/>
  <c r="G23" i="5"/>
  <c r="G26" i="5"/>
  <c r="G27" i="5"/>
  <c r="G42" i="5"/>
  <c r="H18" i="3"/>
  <c r="H19" i="3"/>
  <c r="H20" i="3"/>
  <c r="H21" i="3"/>
  <c r="H22" i="3"/>
  <c r="H23" i="3"/>
  <c r="H24" i="3"/>
  <c r="H25" i="3"/>
  <c r="H18" i="5"/>
  <c r="H25" i="5"/>
  <c r="H21" i="5"/>
  <c r="H23" i="5"/>
  <c r="H26" i="5"/>
  <c r="H27" i="5"/>
  <c r="H42" i="5"/>
  <c r="I18" i="3"/>
  <c r="I19" i="3"/>
  <c r="I20" i="3"/>
  <c r="I21" i="3"/>
  <c r="I22" i="3"/>
  <c r="I23" i="3"/>
  <c r="I24" i="3"/>
  <c r="I25" i="3"/>
  <c r="I18" i="5"/>
  <c r="I25" i="5"/>
  <c r="I21" i="5"/>
  <c r="I23" i="5"/>
  <c r="I26" i="5"/>
  <c r="I27" i="5"/>
  <c r="I42" i="5"/>
  <c r="J18" i="3"/>
  <c r="J19" i="3"/>
  <c r="J20" i="3"/>
  <c r="J21" i="3"/>
  <c r="J22" i="3"/>
  <c r="J23" i="3"/>
  <c r="J24" i="3"/>
  <c r="J25" i="3"/>
  <c r="J18" i="5"/>
  <c r="J25" i="5"/>
  <c r="J21" i="5"/>
  <c r="J23" i="5"/>
  <c r="J26" i="5"/>
  <c r="J27" i="5"/>
  <c r="J42" i="5"/>
  <c r="K18" i="3"/>
  <c r="K19" i="3"/>
  <c r="K20" i="3"/>
  <c r="K21" i="3"/>
  <c r="K22" i="3"/>
  <c r="K23" i="3"/>
  <c r="K24" i="3"/>
  <c r="K25" i="3"/>
  <c r="K18" i="5"/>
  <c r="K25" i="5"/>
  <c r="K21" i="5"/>
  <c r="K23" i="5"/>
  <c r="K26" i="5"/>
  <c r="K27" i="5"/>
  <c r="L18" i="3"/>
  <c r="L19" i="3"/>
  <c r="L20" i="3"/>
  <c r="L21" i="3"/>
  <c r="L22" i="3"/>
  <c r="L23" i="3"/>
  <c r="H7" i="3"/>
  <c r="K28" i="3"/>
  <c r="K31" i="5"/>
  <c r="K29" i="3"/>
  <c r="K32" i="5"/>
  <c r="G30" i="5"/>
  <c r="G31" i="5"/>
  <c r="G33" i="5"/>
  <c r="G35" i="5"/>
  <c r="G38" i="5"/>
  <c r="K33" i="5"/>
  <c r="K35" i="5"/>
  <c r="K42" i="5"/>
  <c r="B44" i="5"/>
  <c r="B45" i="5"/>
  <c r="B43" i="5"/>
  <c r="B78" i="3"/>
  <c r="B77" i="3"/>
  <c r="B76" i="3"/>
  <c r="B75" i="3"/>
  <c r="B74" i="3"/>
  <c r="B73" i="3"/>
  <c r="B72" i="3"/>
  <c r="B71" i="3"/>
  <c r="B70" i="3"/>
  <c r="B69" i="3"/>
  <c r="B6" i="3"/>
  <c r="B68" i="3"/>
  <c r="C64" i="3"/>
  <c r="K49" i="3"/>
  <c r="K50" i="3"/>
  <c r="K51" i="3"/>
  <c r="K52" i="3"/>
  <c r="K53" i="3"/>
  <c r="K54" i="3"/>
  <c r="K55" i="3"/>
  <c r="K56" i="3"/>
  <c r="K38" i="3"/>
  <c r="K31" i="3"/>
  <c r="K39" i="3"/>
  <c r="K40" i="3"/>
  <c r="K57" i="3"/>
  <c r="E11" i="3"/>
  <c r="E12" i="3"/>
  <c r="E13" i="3"/>
  <c r="A38" i="3"/>
  <c r="K47" i="3"/>
  <c r="K48" i="3"/>
  <c r="K41" i="3"/>
  <c r="C63" i="3"/>
  <c r="I63" i="3"/>
  <c r="C62" i="3"/>
  <c r="D63" i="3"/>
  <c r="I62" i="3"/>
  <c r="J38" i="3"/>
  <c r="J28" i="3"/>
  <c r="J29" i="3"/>
  <c r="J31" i="3"/>
  <c r="J39" i="3"/>
  <c r="J40" i="3"/>
  <c r="J56" i="3"/>
  <c r="J55" i="3"/>
  <c r="I38" i="3"/>
  <c r="I28" i="3"/>
  <c r="I29" i="3"/>
  <c r="I31" i="3"/>
  <c r="I39" i="3"/>
  <c r="I40" i="3"/>
  <c r="I55" i="3"/>
  <c r="J54" i="3"/>
  <c r="I54" i="3"/>
  <c r="H38" i="3"/>
  <c r="H28" i="3"/>
  <c r="H29" i="3"/>
  <c r="H31" i="3"/>
  <c r="H39" i="3"/>
  <c r="H40" i="3"/>
  <c r="H54" i="3"/>
  <c r="J53" i="3"/>
  <c r="I53" i="3"/>
  <c r="H53" i="3"/>
  <c r="G38" i="3"/>
  <c r="G28" i="3"/>
  <c r="G29" i="3"/>
  <c r="G31" i="3"/>
  <c r="G39" i="3"/>
  <c r="G40" i="3"/>
  <c r="G53" i="3"/>
  <c r="J52" i="3"/>
  <c r="I52" i="3"/>
  <c r="H52" i="3"/>
  <c r="G52" i="3"/>
  <c r="F38" i="3"/>
  <c r="F28" i="3"/>
  <c r="F29" i="3"/>
  <c r="F31" i="3"/>
  <c r="F39" i="3"/>
  <c r="F40" i="3"/>
  <c r="F52" i="3"/>
  <c r="J51" i="3"/>
  <c r="I51" i="3"/>
  <c r="H51" i="3"/>
  <c r="G51" i="3"/>
  <c r="F51" i="3"/>
  <c r="E38" i="3"/>
  <c r="E28" i="3"/>
  <c r="E29" i="3"/>
  <c r="E31" i="3"/>
  <c r="E39" i="3"/>
  <c r="E40" i="3"/>
  <c r="E51" i="3"/>
  <c r="J50" i="3"/>
  <c r="I50" i="3"/>
  <c r="H50" i="3"/>
  <c r="G50" i="3"/>
  <c r="F50" i="3"/>
  <c r="E50" i="3"/>
  <c r="D38" i="3"/>
  <c r="D28" i="3"/>
  <c r="D29" i="3"/>
  <c r="D31" i="3"/>
  <c r="D39" i="3"/>
  <c r="D40" i="3"/>
  <c r="D50" i="3"/>
  <c r="J49" i="3"/>
  <c r="I49" i="3"/>
  <c r="H49" i="3"/>
  <c r="G49" i="3"/>
  <c r="F49" i="3"/>
  <c r="E49" i="3"/>
  <c r="D49" i="3"/>
  <c r="C38" i="3"/>
  <c r="C28" i="3"/>
  <c r="C29" i="3"/>
  <c r="C31" i="3"/>
  <c r="C39" i="3"/>
  <c r="C40" i="3"/>
  <c r="C49" i="3"/>
  <c r="J48" i="3"/>
  <c r="I48" i="3"/>
  <c r="H48" i="3"/>
  <c r="G48" i="3"/>
  <c r="F48" i="3"/>
  <c r="E48" i="3"/>
  <c r="D48" i="3"/>
  <c r="C48" i="3"/>
  <c r="B28" i="3"/>
  <c r="B29" i="3"/>
  <c r="B31" i="3"/>
  <c r="B39" i="3"/>
  <c r="B38" i="3"/>
  <c r="B40" i="3"/>
  <c r="B48" i="3"/>
  <c r="J47" i="3"/>
  <c r="I47" i="3"/>
  <c r="H47" i="3"/>
  <c r="G47" i="3"/>
  <c r="F47" i="3"/>
  <c r="E47" i="3"/>
  <c r="D47" i="3"/>
  <c r="C47" i="3"/>
  <c r="B47" i="3"/>
  <c r="H11" i="3"/>
  <c r="K42" i="3"/>
  <c r="K43" i="3"/>
  <c r="J42" i="3"/>
  <c r="J43" i="3"/>
  <c r="I42" i="3"/>
  <c r="I43" i="3"/>
  <c r="H42" i="3"/>
  <c r="H43" i="3"/>
  <c r="G42" i="3"/>
  <c r="G43" i="3"/>
  <c r="F42" i="3"/>
  <c r="F43" i="3"/>
  <c r="E42" i="3"/>
  <c r="E43" i="3"/>
  <c r="D42" i="3"/>
  <c r="D43" i="3"/>
  <c r="C42" i="3"/>
  <c r="C43" i="3"/>
  <c r="B42" i="3"/>
  <c r="B43" i="3"/>
  <c r="J41" i="3"/>
  <c r="I41" i="3"/>
  <c r="H41" i="3"/>
  <c r="G41" i="3"/>
  <c r="F41" i="3"/>
  <c r="E41" i="3"/>
  <c r="D41" i="3"/>
  <c r="C41" i="3"/>
  <c r="B41" i="3"/>
  <c r="B12" i="3"/>
  <c r="B11" i="3"/>
  <c r="B10" i="3"/>
  <c r="E8" i="3"/>
  <c r="E7" i="3"/>
  <c r="B7" i="3"/>
  <c r="E6" i="3"/>
  <c r="I64" i="3"/>
  <c r="I34" i="8"/>
  <c r="B6" i="6"/>
  <c r="E11" i="6"/>
  <c r="A41" i="6"/>
  <c r="D33" i="8"/>
  <c r="B18" i="6"/>
  <c r="B24" i="6"/>
  <c r="B19" i="6"/>
  <c r="B20" i="6"/>
  <c r="B21" i="6"/>
  <c r="B22" i="6"/>
  <c r="B25" i="6"/>
  <c r="B26" i="6"/>
  <c r="B41" i="6"/>
  <c r="D34" i="8"/>
  <c r="I33" i="8"/>
  <c r="D9" i="8"/>
  <c r="D10" i="8"/>
  <c r="D11" i="8"/>
  <c r="D12" i="8"/>
  <c r="D13" i="8"/>
  <c r="D14" i="8"/>
  <c r="D15" i="8"/>
  <c r="D16" i="8"/>
  <c r="D17" i="8"/>
  <c r="D7" i="8"/>
  <c r="D8" i="8"/>
  <c r="D24" i="8"/>
  <c r="D23" i="8"/>
  <c r="D22" i="8"/>
  <c r="D21" i="8"/>
  <c r="D20" i="8"/>
  <c r="D19" i="8"/>
  <c r="I17" i="8"/>
  <c r="C52" i="7"/>
  <c r="I61" i="7"/>
  <c r="I8" i="8"/>
  <c r="I7" i="8"/>
  <c r="D52" i="7"/>
  <c r="I62" i="7"/>
  <c r="I9" i="8"/>
  <c r="E52" i="7"/>
  <c r="I63" i="7"/>
  <c r="I10" i="8"/>
  <c r="F52" i="7"/>
  <c r="I64" i="7"/>
  <c r="I11" i="8"/>
  <c r="G52" i="7"/>
  <c r="I65" i="7"/>
  <c r="I12" i="8"/>
  <c r="H52" i="7"/>
  <c r="I66" i="7"/>
  <c r="I13" i="8"/>
  <c r="I52" i="7"/>
  <c r="I67" i="7"/>
  <c r="I14" i="8"/>
  <c r="J52" i="7"/>
  <c r="I68" i="7"/>
  <c r="I15" i="8"/>
  <c r="K52" i="7"/>
  <c r="I69" i="7"/>
  <c r="I16" i="8"/>
  <c r="I19" i="8"/>
  <c r="I20" i="8"/>
  <c r="I21" i="8"/>
  <c r="I22" i="8"/>
  <c r="I23" i="8"/>
  <c r="I24" i="8"/>
  <c r="C18" i="6"/>
  <c r="C24" i="6"/>
  <c r="C19" i="6"/>
  <c r="C20" i="6"/>
  <c r="C21" i="6"/>
  <c r="C22" i="6"/>
  <c r="C25" i="6"/>
  <c r="C26" i="6"/>
  <c r="C41" i="6"/>
  <c r="D35" i="8"/>
  <c r="D18" i="6"/>
  <c r="D24" i="6"/>
  <c r="D19" i="6"/>
  <c r="D20" i="6"/>
  <c r="D21" i="6"/>
  <c r="D22" i="6"/>
  <c r="D25" i="6"/>
  <c r="D26" i="6"/>
  <c r="D41" i="6"/>
  <c r="D36" i="8"/>
  <c r="E18" i="6"/>
  <c r="E24" i="6"/>
  <c r="E19" i="6"/>
  <c r="E20" i="6"/>
  <c r="E21" i="6"/>
  <c r="E22" i="6"/>
  <c r="E25" i="6"/>
  <c r="E26" i="6"/>
  <c r="E41" i="6"/>
  <c r="D37" i="8"/>
  <c r="F18" i="6"/>
  <c r="F24" i="6"/>
  <c r="F19" i="6"/>
  <c r="F20" i="6"/>
  <c r="F21" i="6"/>
  <c r="F22" i="6"/>
  <c r="F25" i="6"/>
  <c r="F26" i="6"/>
  <c r="F41" i="6"/>
  <c r="D38" i="8"/>
  <c r="G18" i="6"/>
  <c r="G24" i="6"/>
  <c r="G19" i="6"/>
  <c r="G20" i="6"/>
  <c r="G21" i="6"/>
  <c r="G22" i="6"/>
  <c r="G25" i="6"/>
  <c r="G26" i="6"/>
  <c r="G41" i="6"/>
  <c r="D39" i="8"/>
  <c r="H18" i="6"/>
  <c r="H24" i="6"/>
  <c r="H19" i="6"/>
  <c r="H20" i="6"/>
  <c r="H21" i="6"/>
  <c r="H22" i="6"/>
  <c r="H25" i="6"/>
  <c r="H26" i="6"/>
  <c r="H41" i="6"/>
  <c r="D40" i="8"/>
  <c r="I18" i="6"/>
  <c r="I24" i="6"/>
  <c r="I19" i="6"/>
  <c r="I20" i="6"/>
  <c r="I21" i="6"/>
  <c r="I22" i="6"/>
  <c r="I25" i="6"/>
  <c r="I26" i="6"/>
  <c r="I41" i="6"/>
  <c r="D41" i="8"/>
  <c r="J18" i="6"/>
  <c r="J24" i="6"/>
  <c r="J19" i="6"/>
  <c r="J20" i="6"/>
  <c r="J21" i="6"/>
  <c r="J22" i="6"/>
  <c r="J25" i="6"/>
  <c r="J26" i="6"/>
  <c r="J41" i="6"/>
  <c r="D42" i="8"/>
  <c r="K18" i="6"/>
  <c r="K24" i="6"/>
  <c r="K19" i="6"/>
  <c r="K20" i="6"/>
  <c r="K21" i="6"/>
  <c r="K22" i="6"/>
  <c r="K25" i="6"/>
  <c r="K26" i="6"/>
  <c r="K31" i="6"/>
  <c r="K32" i="6"/>
  <c r="C32" i="6"/>
  <c r="G34" i="6"/>
  <c r="G36" i="6"/>
  <c r="G30" i="6"/>
  <c r="G31" i="6"/>
  <c r="G32" i="6"/>
  <c r="G33" i="6"/>
  <c r="G35" i="6"/>
  <c r="G37" i="6"/>
  <c r="G38" i="6"/>
  <c r="K33" i="6"/>
  <c r="K35" i="6"/>
  <c r="K41" i="6"/>
  <c r="D43" i="8"/>
  <c r="D45" i="8"/>
  <c r="I35" i="8"/>
  <c r="I36" i="8"/>
  <c r="I37" i="8"/>
  <c r="I38" i="8"/>
  <c r="I39" i="8"/>
  <c r="I40" i="8"/>
  <c r="I41" i="8"/>
  <c r="I42" i="8"/>
  <c r="I43" i="8"/>
  <c r="I45" i="8"/>
  <c r="D46" i="8"/>
  <c r="I46" i="8"/>
  <c r="D47" i="8"/>
  <c r="I47" i="8"/>
  <c r="D48" i="8"/>
  <c r="I48" i="8"/>
  <c r="D49" i="8"/>
  <c r="I49" i="8"/>
  <c r="D50" i="8"/>
  <c r="I50" i="8"/>
  <c r="H14" i="7"/>
  <c r="B6" i="7"/>
  <c r="E11" i="7"/>
  <c r="B8" i="7"/>
  <c r="E12" i="7"/>
  <c r="E13" i="7"/>
  <c r="G70" i="7"/>
  <c r="G72" i="7"/>
  <c r="F70" i="7"/>
  <c r="F72" i="7"/>
  <c r="E61" i="7"/>
  <c r="E62" i="7"/>
  <c r="E63" i="7"/>
  <c r="E64" i="7"/>
  <c r="E65" i="7"/>
  <c r="E66" i="7"/>
  <c r="E67" i="7"/>
  <c r="E68" i="7"/>
  <c r="E69" i="7"/>
  <c r="E70" i="7"/>
  <c r="E72" i="7"/>
  <c r="D62" i="7"/>
  <c r="D63" i="7"/>
  <c r="D64" i="7"/>
  <c r="D65" i="7"/>
  <c r="D66" i="7"/>
  <c r="D67" i="7"/>
  <c r="D68" i="7"/>
  <c r="D69" i="7"/>
  <c r="L52" i="7"/>
  <c r="I70" i="7"/>
  <c r="D70" i="7"/>
  <c r="D61" i="7"/>
  <c r="D72" i="7"/>
  <c r="C70" i="7"/>
  <c r="C72" i="7"/>
  <c r="B56" i="7"/>
  <c r="L54" i="7"/>
  <c r="C54" i="7"/>
  <c r="D54" i="7"/>
  <c r="E54" i="7"/>
  <c r="F54" i="7"/>
  <c r="G54" i="7"/>
  <c r="H54" i="7"/>
  <c r="I54" i="7"/>
  <c r="J54" i="7"/>
  <c r="K54" i="7"/>
  <c r="B58" i="7"/>
  <c r="B57" i="7"/>
  <c r="B52" i="7"/>
  <c r="B42" i="7"/>
  <c r="B43" i="7"/>
  <c r="B44" i="7"/>
  <c r="B45" i="7"/>
  <c r="B46" i="7"/>
  <c r="B47" i="7"/>
  <c r="C42" i="7"/>
  <c r="C43" i="7"/>
  <c r="C44" i="7"/>
  <c r="C45" i="7"/>
  <c r="C46" i="7"/>
  <c r="C47" i="7"/>
  <c r="E42" i="7"/>
  <c r="B36" i="7"/>
  <c r="B37" i="7"/>
  <c r="B38" i="7"/>
  <c r="C36" i="7"/>
  <c r="C37" i="7"/>
  <c r="C38" i="7"/>
  <c r="B21" i="7"/>
  <c r="D21" i="7"/>
  <c r="F21" i="7"/>
  <c r="H21" i="7"/>
  <c r="J21" i="7"/>
  <c r="B22" i="7"/>
  <c r="D22" i="7"/>
  <c r="F22" i="7"/>
  <c r="H22" i="7"/>
  <c r="J22" i="7"/>
  <c r="B23" i="7"/>
  <c r="D23" i="7"/>
  <c r="F23" i="7"/>
  <c r="H23" i="7"/>
  <c r="J23" i="7"/>
  <c r="B24" i="7"/>
  <c r="D24" i="7"/>
  <c r="F24" i="7"/>
  <c r="H24" i="7"/>
  <c r="J24" i="7"/>
  <c r="B25" i="7"/>
  <c r="D25" i="7"/>
  <c r="F25" i="7"/>
  <c r="H25" i="7"/>
  <c r="J25" i="7"/>
  <c r="B26" i="7"/>
  <c r="D26" i="7"/>
  <c r="F26" i="7"/>
  <c r="H26" i="7"/>
  <c r="J26" i="7"/>
  <c r="B27" i="7"/>
  <c r="D27" i="7"/>
  <c r="F27" i="7"/>
  <c r="H27" i="7"/>
  <c r="J27" i="7"/>
  <c r="B28" i="7"/>
  <c r="D28" i="7"/>
  <c r="F28" i="7"/>
  <c r="H28" i="7"/>
  <c r="J28" i="7"/>
  <c r="B29" i="7"/>
  <c r="D29" i="7"/>
  <c r="F29" i="7"/>
  <c r="H29" i="7"/>
  <c r="J29" i="7"/>
  <c r="B30" i="7"/>
  <c r="D30" i="7"/>
  <c r="F30" i="7"/>
  <c r="H30" i="7"/>
  <c r="J30" i="7"/>
  <c r="B14" i="7"/>
  <c r="B13" i="7"/>
  <c r="B12" i="7"/>
  <c r="H11" i="7"/>
  <c r="B11" i="7"/>
  <c r="B10" i="7"/>
  <c r="B9" i="7"/>
  <c r="E8" i="7"/>
  <c r="H7" i="7"/>
  <c r="E7" i="7"/>
  <c r="B7" i="7"/>
  <c r="E6" i="7"/>
  <c r="M6" i="4"/>
  <c r="M35" i="4"/>
  <c r="L6" i="4"/>
  <c r="L35" i="4"/>
  <c r="K6" i="4"/>
  <c r="K35" i="4"/>
  <c r="J6" i="4"/>
  <c r="J35" i="4"/>
  <c r="I6" i="4"/>
  <c r="I35" i="4"/>
  <c r="H6" i="4"/>
  <c r="H35" i="4"/>
  <c r="G6" i="4"/>
  <c r="G35" i="4"/>
  <c r="F6" i="4"/>
  <c r="F35" i="4"/>
  <c r="E6" i="4"/>
  <c r="E35" i="4"/>
  <c r="D6" i="4"/>
  <c r="D35" i="4"/>
  <c r="M27" i="4"/>
  <c r="L27" i="4"/>
  <c r="K27" i="4"/>
  <c r="J27" i="4"/>
  <c r="I27" i="4"/>
  <c r="H27" i="4"/>
  <c r="G27" i="4"/>
  <c r="F27" i="4"/>
  <c r="E27" i="4"/>
  <c r="D27" i="4"/>
  <c r="M24" i="4"/>
  <c r="L24" i="4"/>
  <c r="K24" i="4"/>
  <c r="J24" i="4"/>
  <c r="I24" i="4"/>
  <c r="H24" i="4"/>
  <c r="G24" i="4"/>
  <c r="F24" i="4"/>
  <c r="E24" i="4"/>
  <c r="D24" i="4"/>
  <c r="M21" i="4"/>
  <c r="L21" i="4"/>
  <c r="K21" i="4"/>
  <c r="J21" i="4"/>
  <c r="I21" i="4"/>
  <c r="H21" i="4"/>
  <c r="G21" i="4"/>
  <c r="F21" i="4"/>
  <c r="E21" i="4"/>
  <c r="D21" i="4"/>
  <c r="C18" i="4"/>
  <c r="M15" i="4"/>
  <c r="L15" i="4"/>
  <c r="K15" i="4"/>
  <c r="J15" i="4"/>
  <c r="I15" i="4"/>
  <c r="H15" i="4"/>
  <c r="G15" i="4"/>
  <c r="F15" i="4"/>
  <c r="E15" i="4"/>
  <c r="D15" i="4"/>
  <c r="M12" i="4"/>
  <c r="L12" i="4"/>
  <c r="K12" i="4"/>
  <c r="J12" i="4"/>
  <c r="I12" i="4"/>
  <c r="H12" i="4"/>
  <c r="G12" i="4"/>
  <c r="F12" i="4"/>
  <c r="E12" i="4"/>
  <c r="D12" i="4"/>
  <c r="M9" i="4"/>
  <c r="L9" i="4"/>
  <c r="K9" i="4"/>
  <c r="J9" i="4"/>
  <c r="I9" i="4"/>
  <c r="H9" i="4"/>
  <c r="G9" i="4"/>
  <c r="F9" i="4"/>
  <c r="E9" i="4"/>
  <c r="D9" i="4"/>
  <c r="H11" i="6"/>
  <c r="B44" i="6"/>
  <c r="B45" i="6"/>
  <c r="B43" i="6"/>
  <c r="L18" i="6"/>
  <c r="B14" i="6"/>
  <c r="B8" i="6"/>
  <c r="E12" i="6"/>
  <c r="E13" i="6"/>
  <c r="B13" i="6"/>
  <c r="B12" i="6"/>
  <c r="B11" i="6"/>
  <c r="B10" i="6"/>
  <c r="B9" i="6"/>
  <c r="E8" i="6"/>
  <c r="H7" i="6"/>
  <c r="E7" i="6"/>
  <c r="B7" i="6"/>
  <c r="E6" i="6"/>
  <c r="C18" i="11"/>
  <c r="C25" i="11"/>
  <c r="C19" i="11"/>
  <c r="C20" i="11"/>
  <c r="C21" i="11"/>
  <c r="C22" i="11"/>
  <c r="C23" i="11"/>
  <c r="C26" i="11"/>
  <c r="C27" i="11"/>
  <c r="C42" i="11"/>
  <c r="D18" i="11"/>
  <c r="D25" i="11"/>
  <c r="D19" i="11"/>
  <c r="D20" i="11"/>
  <c r="D21" i="11"/>
  <c r="D22" i="11"/>
  <c r="D23" i="11"/>
  <c r="D26" i="11"/>
  <c r="D27" i="11"/>
  <c r="D42" i="11"/>
  <c r="E18" i="11"/>
  <c r="E25" i="11"/>
  <c r="E19" i="11"/>
  <c r="E20" i="11"/>
  <c r="E21" i="11"/>
  <c r="E22" i="11"/>
  <c r="E23" i="11"/>
  <c r="E26" i="11"/>
  <c r="E27" i="11"/>
  <c r="E42" i="11"/>
  <c r="F18" i="11"/>
  <c r="F25" i="11"/>
  <c r="B19" i="11"/>
  <c r="F19" i="11"/>
  <c r="F20" i="11"/>
  <c r="F21" i="11"/>
  <c r="F22" i="11"/>
  <c r="F23" i="11"/>
  <c r="F26" i="11"/>
  <c r="F27" i="11"/>
  <c r="B18" i="11"/>
  <c r="B25" i="11"/>
  <c r="B20" i="11"/>
  <c r="B21" i="11"/>
  <c r="B22" i="11"/>
  <c r="B23" i="11"/>
  <c r="B26" i="11"/>
  <c r="B27" i="11"/>
  <c r="B42" i="11"/>
  <c r="B6" i="11"/>
  <c r="E11" i="11"/>
  <c r="B8" i="11"/>
  <c r="E12" i="11"/>
  <c r="E13" i="11"/>
  <c r="A42" i="11"/>
  <c r="G37" i="11"/>
  <c r="G36" i="11"/>
  <c r="B9" i="10"/>
  <c r="C33" i="10"/>
  <c r="D33" i="10"/>
  <c r="E33" i="10"/>
  <c r="F33" i="10"/>
  <c r="B13" i="10"/>
  <c r="F30" i="10"/>
  <c r="K34" i="11"/>
  <c r="C32" i="11"/>
  <c r="G34" i="11"/>
  <c r="C30" i="11"/>
  <c r="C31" i="11"/>
  <c r="C33" i="11"/>
  <c r="G32" i="11"/>
  <c r="B14" i="11"/>
  <c r="B13" i="11"/>
  <c r="B12" i="11"/>
  <c r="H11" i="11"/>
  <c r="B11" i="11"/>
  <c r="B10" i="11"/>
  <c r="B9" i="11"/>
  <c r="E8" i="11"/>
  <c r="H7" i="11"/>
  <c r="E7" i="11"/>
  <c r="B7" i="11"/>
  <c r="E6" i="11"/>
  <c r="B18" i="10"/>
  <c r="C18" i="10"/>
  <c r="D18" i="10"/>
  <c r="E18" i="10"/>
  <c r="F18" i="10"/>
  <c r="G18" i="10"/>
  <c r="G19" i="10"/>
  <c r="B20" i="10"/>
  <c r="C20" i="10"/>
  <c r="D20" i="10"/>
  <c r="E20" i="10"/>
  <c r="F20" i="10"/>
  <c r="G20" i="10"/>
  <c r="G21" i="10"/>
  <c r="B22" i="10"/>
  <c r="C22" i="10"/>
  <c r="D22" i="10"/>
  <c r="E22" i="10"/>
  <c r="F22" i="10"/>
  <c r="G22" i="10"/>
  <c r="G23" i="10"/>
  <c r="H7" i="10"/>
  <c r="F28" i="10"/>
  <c r="F29" i="10"/>
  <c r="G31" i="11"/>
  <c r="K32" i="11"/>
  <c r="G30" i="11"/>
  <c r="G33" i="11"/>
  <c r="G35" i="11"/>
  <c r="G38" i="11"/>
  <c r="K33" i="11"/>
  <c r="K31" i="11"/>
  <c r="K35" i="11"/>
  <c r="F42" i="11"/>
  <c r="B43" i="11"/>
  <c r="B44" i="11"/>
  <c r="B45" i="11"/>
  <c r="F19" i="10"/>
  <c r="F21" i="10"/>
  <c r="F23" i="10"/>
  <c r="B73" i="10"/>
  <c r="E19" i="10"/>
  <c r="E21" i="10"/>
  <c r="E23" i="10"/>
  <c r="B72" i="10"/>
  <c r="D19" i="10"/>
  <c r="D21" i="10"/>
  <c r="D23" i="10"/>
  <c r="B71" i="10"/>
  <c r="C19" i="10"/>
  <c r="C21" i="10"/>
  <c r="C23" i="10"/>
  <c r="B70" i="10"/>
  <c r="B19" i="10"/>
  <c r="B21" i="10"/>
  <c r="B23" i="10"/>
  <c r="B69" i="10"/>
  <c r="B6" i="10"/>
  <c r="B68" i="10"/>
  <c r="C64" i="10"/>
  <c r="B14" i="10"/>
  <c r="C24" i="10"/>
  <c r="C25" i="10"/>
  <c r="F49" i="10"/>
  <c r="D24" i="10"/>
  <c r="D25" i="10"/>
  <c r="F50" i="10"/>
  <c r="E24" i="10"/>
  <c r="E25" i="10"/>
  <c r="F51" i="10"/>
  <c r="F24" i="10"/>
  <c r="F25" i="10"/>
  <c r="F38" i="10"/>
  <c r="F31" i="10"/>
  <c r="F39" i="10"/>
  <c r="F40" i="10"/>
  <c r="F52" i="10"/>
  <c r="E11" i="10"/>
  <c r="B8" i="10"/>
  <c r="E12" i="10"/>
  <c r="E13" i="10"/>
  <c r="A38" i="10"/>
  <c r="F47" i="10"/>
  <c r="B24" i="10"/>
  <c r="B25" i="10"/>
  <c r="F48" i="10"/>
  <c r="F41" i="10"/>
  <c r="C63" i="10"/>
  <c r="I63" i="10"/>
  <c r="C62" i="10"/>
  <c r="D63" i="10"/>
  <c r="I62" i="10"/>
  <c r="E38" i="10"/>
  <c r="E28" i="10"/>
  <c r="E29" i="10"/>
  <c r="E30" i="10"/>
  <c r="E31" i="10"/>
  <c r="E39" i="10"/>
  <c r="E40" i="10"/>
  <c r="E51" i="10"/>
  <c r="E50" i="10"/>
  <c r="D38" i="10"/>
  <c r="D28" i="10"/>
  <c r="D29" i="10"/>
  <c r="D30" i="10"/>
  <c r="D31" i="10"/>
  <c r="D39" i="10"/>
  <c r="D40" i="10"/>
  <c r="D50" i="10"/>
  <c r="E49" i="10"/>
  <c r="D49" i="10"/>
  <c r="C38" i="10"/>
  <c r="C28" i="10"/>
  <c r="C29" i="10"/>
  <c r="C30" i="10"/>
  <c r="C31" i="10"/>
  <c r="C39" i="10"/>
  <c r="C40" i="10"/>
  <c r="C49" i="10"/>
  <c r="E48" i="10"/>
  <c r="D48" i="10"/>
  <c r="C48" i="10"/>
  <c r="B28" i="10"/>
  <c r="B29" i="10"/>
  <c r="B30" i="10"/>
  <c r="B31" i="10"/>
  <c r="B39" i="10"/>
  <c r="B38" i="10"/>
  <c r="B40" i="10"/>
  <c r="B48" i="10"/>
  <c r="E47" i="10"/>
  <c r="D47" i="10"/>
  <c r="C47" i="10"/>
  <c r="B47" i="10"/>
  <c r="H11" i="10"/>
  <c r="F42" i="10"/>
  <c r="F43" i="10"/>
  <c r="E42" i="10"/>
  <c r="E43" i="10"/>
  <c r="D42" i="10"/>
  <c r="D43" i="10"/>
  <c r="C42" i="10"/>
  <c r="C43" i="10"/>
  <c r="B42" i="10"/>
  <c r="B43" i="10"/>
  <c r="E41" i="10"/>
  <c r="D41" i="10"/>
  <c r="C41" i="10"/>
  <c r="B41" i="10"/>
  <c r="F34" i="10"/>
  <c r="E34" i="10"/>
  <c r="D34" i="10"/>
  <c r="C34" i="10"/>
  <c r="B34" i="10"/>
  <c r="B12" i="10"/>
  <c r="B11" i="10"/>
  <c r="B10" i="10"/>
  <c r="E8" i="10"/>
  <c r="E7" i="10"/>
  <c r="B7" i="10"/>
  <c r="E6" i="10"/>
  <c r="I64" i="10"/>
  <c r="I28" i="14"/>
  <c r="I29" i="14"/>
  <c r="I30" i="14"/>
  <c r="I31" i="14"/>
  <c r="I32" i="14"/>
  <c r="B6" i="12"/>
  <c r="E11" i="12"/>
  <c r="A41" i="12"/>
  <c r="D28" i="14"/>
  <c r="B18" i="12"/>
  <c r="B24" i="12"/>
  <c r="B19" i="12"/>
  <c r="B20" i="12"/>
  <c r="B21" i="12"/>
  <c r="B22" i="12"/>
  <c r="B25" i="12"/>
  <c r="B26" i="12"/>
  <c r="B41" i="12"/>
  <c r="D29" i="14"/>
  <c r="I7" i="14"/>
  <c r="I8" i="14"/>
  <c r="I9" i="14"/>
  <c r="I10" i="14"/>
  <c r="I11" i="14"/>
  <c r="I12" i="14"/>
  <c r="I19" i="14"/>
  <c r="D9" i="14"/>
  <c r="D10" i="14"/>
  <c r="D11" i="14"/>
  <c r="D12" i="14"/>
  <c r="D7" i="14"/>
  <c r="D8" i="14"/>
  <c r="D19" i="14"/>
  <c r="I18" i="14"/>
  <c r="D18" i="14"/>
  <c r="I17" i="14"/>
  <c r="D17" i="14"/>
  <c r="I16" i="14"/>
  <c r="D16" i="14"/>
  <c r="I15" i="14"/>
  <c r="D15" i="14"/>
  <c r="I14" i="14"/>
  <c r="D14" i="14"/>
  <c r="C18" i="12"/>
  <c r="C24" i="12"/>
  <c r="C19" i="12"/>
  <c r="C20" i="12"/>
  <c r="C21" i="12"/>
  <c r="C22" i="12"/>
  <c r="C25" i="12"/>
  <c r="C26" i="12"/>
  <c r="C41" i="12"/>
  <c r="D30" i="14"/>
  <c r="D18" i="12"/>
  <c r="D24" i="12"/>
  <c r="D19" i="12"/>
  <c r="D20" i="12"/>
  <c r="D21" i="12"/>
  <c r="D22" i="12"/>
  <c r="D25" i="12"/>
  <c r="D26" i="12"/>
  <c r="D41" i="12"/>
  <c r="D31" i="14"/>
  <c r="E18" i="12"/>
  <c r="E24" i="12"/>
  <c r="E19" i="12"/>
  <c r="E20" i="12"/>
  <c r="E21" i="12"/>
  <c r="E22" i="12"/>
  <c r="E25" i="12"/>
  <c r="E26" i="12"/>
  <c r="E41" i="12"/>
  <c r="D32" i="14"/>
  <c r="F18" i="12"/>
  <c r="F24" i="12"/>
  <c r="F19" i="12"/>
  <c r="F20" i="12"/>
  <c r="F21" i="12"/>
  <c r="F22" i="12"/>
  <c r="F25" i="12"/>
  <c r="F26" i="12"/>
  <c r="K31" i="12"/>
  <c r="K32" i="12"/>
  <c r="C32" i="12"/>
  <c r="G34" i="12"/>
  <c r="G36" i="12"/>
  <c r="G30" i="12"/>
  <c r="G31" i="12"/>
  <c r="C30" i="12"/>
  <c r="C31" i="12"/>
  <c r="C33" i="12"/>
  <c r="G32" i="12"/>
  <c r="G33" i="12"/>
  <c r="G35" i="12"/>
  <c r="G37" i="12"/>
  <c r="G38" i="12"/>
  <c r="K33" i="12"/>
  <c r="K35" i="12"/>
  <c r="F41" i="12"/>
  <c r="D33" i="14"/>
  <c r="D40" i="14"/>
  <c r="D39" i="14"/>
  <c r="D38" i="14"/>
  <c r="D37" i="14"/>
  <c r="D36" i="14"/>
  <c r="D35" i="14"/>
  <c r="I33" i="14"/>
  <c r="I35" i="14"/>
  <c r="I36" i="14"/>
  <c r="I37" i="14"/>
  <c r="I38" i="14"/>
  <c r="I39" i="14"/>
  <c r="I40" i="14"/>
  <c r="H14" i="13"/>
  <c r="B6" i="13"/>
  <c r="E11" i="13"/>
  <c r="B8" i="13"/>
  <c r="E12" i="13"/>
  <c r="E13" i="13"/>
  <c r="H66" i="13"/>
  <c r="H68" i="13"/>
  <c r="G66" i="13"/>
  <c r="G68" i="13"/>
  <c r="C52" i="13"/>
  <c r="F62" i="13"/>
  <c r="F63" i="13"/>
  <c r="F64" i="13"/>
  <c r="F65" i="13"/>
  <c r="F66" i="13"/>
  <c r="F68" i="13"/>
  <c r="J62" i="13"/>
  <c r="E62" i="13"/>
  <c r="J63" i="13"/>
  <c r="E63" i="13"/>
  <c r="J64" i="13"/>
  <c r="E64" i="13"/>
  <c r="J65" i="13"/>
  <c r="E65" i="13"/>
  <c r="J66" i="13"/>
  <c r="E66" i="13"/>
  <c r="E68" i="13"/>
  <c r="D66" i="13"/>
  <c r="D68" i="13"/>
  <c r="B56" i="13"/>
  <c r="G54" i="13"/>
  <c r="C54" i="13"/>
  <c r="D54" i="13"/>
  <c r="E54" i="13"/>
  <c r="F54" i="13"/>
  <c r="B58" i="13"/>
  <c r="D52" i="13"/>
  <c r="E52" i="13"/>
  <c r="F52" i="13"/>
  <c r="G52" i="13"/>
  <c r="B57" i="13"/>
  <c r="B52" i="13"/>
  <c r="B42" i="13"/>
  <c r="B43" i="13"/>
  <c r="B44" i="13"/>
  <c r="B45" i="13"/>
  <c r="B46" i="13"/>
  <c r="B47" i="13"/>
  <c r="C47" i="13"/>
  <c r="C46" i="13"/>
  <c r="C45" i="13"/>
  <c r="C44" i="13"/>
  <c r="C43" i="13"/>
  <c r="C42" i="13"/>
  <c r="B36" i="13"/>
  <c r="B37" i="13"/>
  <c r="B38" i="13"/>
  <c r="C36" i="13"/>
  <c r="C37" i="13"/>
  <c r="C38" i="13"/>
  <c r="H22" i="13"/>
  <c r="B21" i="13"/>
  <c r="D21" i="13"/>
  <c r="F21" i="13"/>
  <c r="H21" i="13"/>
  <c r="J21" i="13"/>
  <c r="B22" i="13"/>
  <c r="D22" i="13"/>
  <c r="F22" i="13"/>
  <c r="J22" i="13"/>
  <c r="B23" i="13"/>
  <c r="D23" i="13"/>
  <c r="F23" i="13"/>
  <c r="H23" i="13"/>
  <c r="J23" i="13"/>
  <c r="B24" i="13"/>
  <c r="D24" i="13"/>
  <c r="F24" i="13"/>
  <c r="H24" i="13"/>
  <c r="J24" i="13"/>
  <c r="B25" i="13"/>
  <c r="D25" i="13"/>
  <c r="F25" i="13"/>
  <c r="H25" i="13"/>
  <c r="J25" i="13"/>
  <c r="B14" i="13"/>
  <c r="B13" i="13"/>
  <c r="B12" i="13"/>
  <c r="H11" i="13"/>
  <c r="B11" i="13"/>
  <c r="B10" i="13"/>
  <c r="B9" i="13"/>
  <c r="E8" i="13"/>
  <c r="H7" i="13"/>
  <c r="E7" i="13"/>
  <c r="B7" i="13"/>
  <c r="E6" i="13"/>
  <c r="H11" i="12"/>
  <c r="B44" i="12"/>
  <c r="B45" i="12"/>
  <c r="B43" i="12"/>
  <c r="G18" i="12"/>
  <c r="B14" i="12"/>
  <c r="B8" i="12"/>
  <c r="E12" i="12"/>
  <c r="E13" i="12"/>
  <c r="B13" i="12"/>
  <c r="B12" i="12"/>
  <c r="B11" i="12"/>
  <c r="B10" i="12"/>
  <c r="B9" i="12"/>
  <c r="E8" i="12"/>
  <c r="H7" i="12"/>
  <c r="E7" i="12"/>
  <c r="B7" i="12"/>
  <c r="E6" i="12"/>
  <c r="D26" i="1"/>
  <c r="D48" i="1"/>
  <c r="D49" i="1"/>
  <c r="D50" i="1"/>
  <c r="G13" i="1"/>
  <c r="G24" i="1"/>
  <c r="G23" i="1"/>
  <c r="G26" i="1"/>
  <c r="D11" i="1"/>
  <c r="D13" i="1"/>
  <c r="D14" i="1"/>
</calcChain>
</file>

<file path=xl/sharedStrings.xml><?xml version="1.0" encoding="utf-8"?>
<sst xmlns="http://schemas.openxmlformats.org/spreadsheetml/2006/main" count="1011" uniqueCount="316">
  <si>
    <t>Gain Recovery Rate</t>
    <phoneticPr fontId="14" type="noConversion"/>
  </si>
  <si>
    <t>Additions to Basis</t>
    <phoneticPr fontId="14" type="noConversion"/>
  </si>
  <si>
    <t>Mid Year Convention</t>
    <phoneticPr fontId="14" type="noConversion"/>
  </si>
  <si>
    <t>Yes</t>
    <phoneticPr fontId="14" type="noConversion"/>
  </si>
  <si>
    <t>Less: Vacancy &amp; Credit Losses</t>
    <phoneticPr fontId="14" type="noConversion"/>
  </si>
  <si>
    <t>Plus: Other Income</t>
    <phoneticPr fontId="14" type="noConversion"/>
  </si>
  <si>
    <t>Real Estate Taxes</t>
    <phoneticPr fontId="14" type="noConversion"/>
  </si>
  <si>
    <t>Personal Property Taxes</t>
    <phoneticPr fontId="14" type="noConversion"/>
  </si>
  <si>
    <t>Property Insurance</t>
    <phoneticPr fontId="14" type="noConversion"/>
  </si>
  <si>
    <t>For a 10 Year Hold:</t>
    <phoneticPr fontId="14" type="noConversion"/>
  </si>
  <si>
    <t>IRR Before Debt</t>
    <phoneticPr fontId="14" type="noConversion"/>
  </si>
  <si>
    <t>For a 10 Year Hold:</t>
    <phoneticPr fontId="14" type="noConversion"/>
  </si>
  <si>
    <t>Inflate Other Income</t>
    <phoneticPr fontId="14" type="noConversion"/>
  </si>
  <si>
    <t>Expense Ratio</t>
    <phoneticPr fontId="14" type="noConversion"/>
  </si>
  <si>
    <t xml:space="preserve">Operating </t>
    <phoneticPr fontId="14" type="noConversion"/>
  </si>
  <si>
    <t>Terminal cap</t>
    <phoneticPr fontId="14" type="noConversion"/>
  </si>
  <si>
    <t>Break point</t>
    <phoneticPr fontId="14" type="noConversion"/>
  </si>
  <si>
    <t>Break-even</t>
    <phoneticPr fontId="14" type="noConversion"/>
  </si>
  <si>
    <t>OE</t>
    <phoneticPr fontId="14" type="noConversion"/>
  </si>
  <si>
    <t>EGI</t>
    <phoneticPr fontId="14" type="noConversion"/>
  </si>
  <si>
    <t>NOI</t>
    <phoneticPr fontId="14" type="noConversion"/>
  </si>
  <si>
    <t>DS</t>
    <phoneticPr fontId="14" type="noConversion"/>
  </si>
  <si>
    <t>BTCF</t>
    <phoneticPr fontId="14" type="noConversion"/>
  </si>
  <si>
    <t>initial equity</t>
    <phoneticPr fontId="14" type="noConversion"/>
  </si>
  <si>
    <t>purchase price</t>
    <phoneticPr fontId="14" type="noConversion"/>
  </si>
  <si>
    <t>Next Yr NOI</t>
    <phoneticPr fontId="14" type="noConversion"/>
  </si>
  <si>
    <t>Sale Value</t>
    <phoneticPr fontId="14" type="noConversion"/>
  </si>
  <si>
    <t>OE+DS</t>
    <phoneticPr fontId="14" type="noConversion"/>
  </si>
  <si>
    <t>PGI</t>
    <phoneticPr fontId="14" type="noConversion"/>
  </si>
  <si>
    <t>Year 1</t>
  </si>
  <si>
    <t>Year 0</t>
    <phoneticPr fontId="14" type="noConversion"/>
  </si>
  <si>
    <t>GPV Cash Flows</t>
    <phoneticPr fontId="14" type="noConversion"/>
  </si>
  <si>
    <t>GPV Reversion</t>
    <phoneticPr fontId="14" type="noConversion"/>
  </si>
  <si>
    <t>YR 1</t>
    <phoneticPr fontId="14" type="noConversion"/>
  </si>
  <si>
    <t>YR 2</t>
  </si>
  <si>
    <t>YR 3</t>
  </si>
  <si>
    <t>YR 4</t>
  </si>
  <si>
    <t>YR 5</t>
  </si>
  <si>
    <t>YR 6</t>
  </si>
  <si>
    <t>YR 7</t>
  </si>
  <si>
    <t>YR 8</t>
  </si>
  <si>
    <t>YR 9</t>
  </si>
  <si>
    <t>YR 10</t>
  </si>
  <si>
    <t>Off Site Management</t>
    <phoneticPr fontId="14" type="noConversion"/>
  </si>
  <si>
    <t>Payroll</t>
    <phoneticPr fontId="14" type="noConversion"/>
  </si>
  <si>
    <t>Expenses/Benefits</t>
    <phoneticPr fontId="14" type="noConversion"/>
  </si>
  <si>
    <t>Taxes/Worker's Compensation</t>
    <phoneticPr fontId="14" type="noConversion"/>
  </si>
  <si>
    <t>NA</t>
    <phoneticPr fontId="14" type="noConversion"/>
  </si>
  <si>
    <t>OE inflation per Year</t>
    <phoneticPr fontId="14" type="noConversion"/>
  </si>
  <si>
    <t>PGI inflation per Year</t>
    <phoneticPr fontId="14" type="noConversion"/>
  </si>
  <si>
    <t>Initial Equity</t>
    <phoneticPr fontId="14" type="noConversion"/>
  </si>
  <si>
    <t>Price</t>
    <phoneticPr fontId="14" type="noConversion"/>
  </si>
  <si>
    <t>Loan</t>
    <phoneticPr fontId="14" type="noConversion"/>
  </si>
  <si>
    <t>Initial Investment</t>
    <phoneticPr fontId="14" type="noConversion"/>
  </si>
  <si>
    <t>Reversion Data</t>
    <phoneticPr fontId="14" type="noConversion"/>
  </si>
  <si>
    <t>Going Out</t>
    <phoneticPr fontId="14" type="noConversion"/>
  </si>
  <si>
    <t>Cap Rate</t>
    <phoneticPr fontId="14" type="noConversion"/>
  </si>
  <si>
    <t xml:space="preserve"> </t>
    <phoneticPr fontId="14" type="noConversion"/>
  </si>
  <si>
    <t>For a 5 Year Hold:</t>
    <phoneticPr fontId="14" type="noConversion"/>
  </si>
  <si>
    <t>For a 5 Year Hold:</t>
    <phoneticPr fontId="14" type="noConversion"/>
  </si>
  <si>
    <t>Less: Cost of Sale</t>
    <phoneticPr fontId="14" type="noConversion"/>
  </si>
  <si>
    <t>Inflate PGI</t>
    <phoneticPr fontId="14" type="noConversion"/>
  </si>
  <si>
    <t>123 Main St. Denver, CO</t>
    <phoneticPr fontId="14" type="noConversion"/>
  </si>
  <si>
    <t>Rose Gardens</t>
    <phoneticPr fontId="14" type="noConversion"/>
  </si>
  <si>
    <t>Purchase Price</t>
    <phoneticPr fontId="14" type="noConversion"/>
  </si>
  <si>
    <t>Loan Amount</t>
    <phoneticPr fontId="14" type="noConversion"/>
  </si>
  <si>
    <t>Interest Rate/yr</t>
    <phoneticPr fontId="14" type="noConversion"/>
  </si>
  <si>
    <t>Interest Rate/mo</t>
    <phoneticPr fontId="14" type="noConversion"/>
  </si>
  <si>
    <t>Term (years)</t>
    <phoneticPr fontId="14" type="noConversion"/>
  </si>
  <si>
    <t>Term (months)</t>
    <phoneticPr fontId="14" type="noConversion"/>
  </si>
  <si>
    <t>Annual DS</t>
    <phoneticPr fontId="14" type="noConversion"/>
  </si>
  <si>
    <t>Initial Equity (Cfo)</t>
    <phoneticPr fontId="14" type="noConversion"/>
  </si>
  <si>
    <t>Total</t>
    <phoneticPr fontId="14" type="noConversion"/>
  </si>
  <si>
    <t>assured</t>
    <phoneticPr fontId="14" type="noConversion"/>
  </si>
  <si>
    <t>prospective</t>
    <phoneticPr fontId="14" type="noConversion"/>
  </si>
  <si>
    <t>Tax Rate on Gain</t>
    <phoneticPr fontId="14" type="noConversion"/>
  </si>
  <si>
    <t>Tax on Gain and Recapture</t>
    <phoneticPr fontId="14" type="noConversion"/>
  </si>
  <si>
    <t>After Tax Sale Proceeds</t>
    <phoneticPr fontId="14" type="noConversion"/>
  </si>
  <si>
    <t>Sales Price</t>
    <phoneticPr fontId="14" type="noConversion"/>
  </si>
  <si>
    <t>Before Tax</t>
    <phoneticPr fontId="14" type="noConversion"/>
  </si>
  <si>
    <t>IRRo</t>
    <phoneticPr fontId="14" type="noConversion"/>
  </si>
  <si>
    <t>minus: Taxes Due</t>
    <phoneticPr fontId="14" type="noConversion"/>
  </si>
  <si>
    <t>N</t>
    <phoneticPr fontId="14" type="noConversion"/>
  </si>
  <si>
    <t>$</t>
    <phoneticPr fontId="14" type="noConversion"/>
  </si>
  <si>
    <t>CF0</t>
    <phoneticPr fontId="14" type="noConversion"/>
  </si>
  <si>
    <t>IRRo=</t>
    <phoneticPr fontId="14" type="noConversion"/>
  </si>
  <si>
    <t>GPV @</t>
    <phoneticPr fontId="14" type="noConversion"/>
  </si>
  <si>
    <t>GPV @</t>
    <phoneticPr fontId="14" type="noConversion"/>
  </si>
  <si>
    <t>NPV @</t>
    <phoneticPr fontId="14" type="noConversion"/>
  </si>
  <si>
    <t>MIRRo=</t>
    <phoneticPr fontId="14" type="noConversion"/>
  </si>
  <si>
    <t>Net Gain</t>
    <phoneticPr fontId="14" type="noConversion"/>
  </si>
  <si>
    <t>Single-Period Leverage</t>
    <phoneticPr fontId="14" type="noConversion"/>
  </si>
  <si>
    <t>Tax Factors:</t>
    <phoneticPr fontId="14" type="noConversion"/>
  </si>
  <si>
    <t>Depreciable Life SL</t>
    <phoneticPr fontId="14" type="noConversion"/>
  </si>
  <si>
    <t>Tax Rate</t>
    <phoneticPr fontId="14" type="noConversion"/>
  </si>
  <si>
    <t>Capital Gain Rate</t>
    <phoneticPr fontId="14" type="noConversion"/>
  </si>
  <si>
    <t>After Tax Cash Flow</t>
    <phoneticPr fontId="14" type="noConversion"/>
  </si>
  <si>
    <t>CF4</t>
  </si>
  <si>
    <t>CF5</t>
  </si>
  <si>
    <t>CF6</t>
  </si>
  <si>
    <t>CF7</t>
  </si>
  <si>
    <t>CF8</t>
  </si>
  <si>
    <t>CF9</t>
  </si>
  <si>
    <t>CF10</t>
  </si>
  <si>
    <t>IRR</t>
    <phoneticPr fontId="14" type="noConversion"/>
  </si>
  <si>
    <t>CF+ Net Sale Proceeds</t>
    <phoneticPr fontId="14" type="noConversion"/>
  </si>
  <si>
    <t>Sales Proceeds</t>
    <phoneticPr fontId="14" type="noConversion"/>
  </si>
  <si>
    <t>GPV of Equity @ Discount Rate</t>
    <phoneticPr fontId="14" type="noConversion"/>
  </si>
  <si>
    <t>NPV of Equity @ Discount Rate</t>
    <phoneticPr fontId="14" type="noConversion"/>
  </si>
  <si>
    <t>10 Year Ratios</t>
    <phoneticPr fontId="14" type="noConversion"/>
  </si>
  <si>
    <t>10 Year After Tax Cash Flows</t>
    <phoneticPr fontId="14" type="noConversion"/>
  </si>
  <si>
    <t>10 Year Before Tax Cash Flows</t>
    <phoneticPr fontId="14" type="noConversion"/>
  </si>
  <si>
    <t>After Tax Cash Flows:</t>
    <phoneticPr fontId="14" type="noConversion"/>
  </si>
  <si>
    <t>IRR After Tax</t>
    <phoneticPr fontId="14" type="noConversion"/>
  </si>
  <si>
    <t>Remaining Loan Balance</t>
    <phoneticPr fontId="14" type="noConversion"/>
  </si>
  <si>
    <t>Net Sale Proceeds</t>
    <phoneticPr fontId="14" type="noConversion"/>
  </si>
  <si>
    <t>Number of pmts rmng</t>
    <phoneticPr fontId="14" type="noConversion"/>
  </si>
  <si>
    <t>Principle Reduction</t>
    <phoneticPr fontId="14" type="noConversion"/>
  </si>
  <si>
    <t>IRR Before Tax</t>
    <phoneticPr fontId="14" type="noConversion"/>
  </si>
  <si>
    <t>CF0</t>
    <phoneticPr fontId="14" type="noConversion"/>
  </si>
  <si>
    <t>CF1</t>
  </si>
  <si>
    <t>CF2</t>
  </si>
  <si>
    <t>CF3</t>
  </si>
  <si>
    <t>Before Tax</t>
    <phoneticPr fontId="14" type="noConversion"/>
  </si>
  <si>
    <t>Calculated IRR</t>
    <phoneticPr fontId="14" type="noConversion"/>
  </si>
  <si>
    <t>Equity IRR</t>
    <phoneticPr fontId="14" type="noConversion"/>
  </si>
  <si>
    <t>CF0</t>
    <phoneticPr fontId="14" type="noConversion"/>
  </si>
  <si>
    <t>CF1</t>
    <phoneticPr fontId="14" type="noConversion"/>
  </si>
  <si>
    <t>Reversion</t>
    <phoneticPr fontId="14" type="noConversion"/>
  </si>
  <si>
    <t>IRRe</t>
    <phoneticPr fontId="14" type="noConversion"/>
  </si>
  <si>
    <t>Irr Profile &amp; Partition</t>
    <phoneticPr fontId="14" type="noConversion"/>
  </si>
  <si>
    <t>Year</t>
    <phoneticPr fontId="14" type="noConversion"/>
  </si>
  <si>
    <t>BOY Internal Investment</t>
    <phoneticPr fontId="14" type="noConversion"/>
  </si>
  <si>
    <t>+</t>
    <phoneticPr fontId="14" type="noConversion"/>
  </si>
  <si>
    <t>=</t>
    <phoneticPr fontId="14" type="noConversion"/>
  </si>
  <si>
    <t>-</t>
    <phoneticPr fontId="14" type="noConversion"/>
  </si>
  <si>
    <t>-</t>
    <phoneticPr fontId="14" type="noConversion"/>
  </si>
  <si>
    <t>=</t>
    <phoneticPr fontId="14" type="noConversion"/>
  </si>
  <si>
    <t>Interest at IRR</t>
    <phoneticPr fontId="14" type="noConversion"/>
  </si>
  <si>
    <t>Amount Plus Interest</t>
    <phoneticPr fontId="14" type="noConversion"/>
  </si>
  <si>
    <t>EOY Cash Flow</t>
    <phoneticPr fontId="14" type="noConversion"/>
  </si>
  <si>
    <t>Miscellaneous</t>
    <phoneticPr fontId="14" type="noConversion"/>
  </si>
  <si>
    <t xml:space="preserve">Implied cap </t>
    <phoneticPr fontId="14" type="noConversion"/>
  </si>
  <si>
    <t>Repairs and Maintenance</t>
    <phoneticPr fontId="14" type="noConversion"/>
  </si>
  <si>
    <t>Utilities:</t>
    <phoneticPr fontId="14" type="noConversion"/>
  </si>
  <si>
    <t>Gas</t>
    <phoneticPr fontId="14" type="noConversion"/>
  </si>
  <si>
    <t>Electric</t>
    <phoneticPr fontId="14" type="noConversion"/>
  </si>
  <si>
    <t>Accounting and Legal</t>
    <phoneticPr fontId="14" type="noConversion"/>
  </si>
  <si>
    <t>Advertising/Licenses/Permits</t>
    <phoneticPr fontId="14" type="noConversion"/>
  </si>
  <si>
    <t>Supplies</t>
    <phoneticPr fontId="14" type="noConversion"/>
  </si>
  <si>
    <t>Personal Property</t>
    <phoneticPr fontId="14" type="noConversion"/>
  </si>
  <si>
    <t>Total</t>
    <phoneticPr fontId="14" type="noConversion"/>
  </si>
  <si>
    <t>%</t>
    <phoneticPr fontId="14" type="noConversion"/>
  </si>
  <si>
    <t>Office Building</t>
    <phoneticPr fontId="14" type="noConversion"/>
  </si>
  <si>
    <t>Simple Partition</t>
    <phoneticPr fontId="14" type="noConversion"/>
  </si>
  <si>
    <t>PV of Cash Flows @ IRR</t>
    <phoneticPr fontId="14" type="noConversion"/>
  </si>
  <si>
    <t>PV of Reversion @ IRR</t>
    <phoneticPr fontId="14" type="noConversion"/>
  </si>
  <si>
    <t>2 Year Hold</t>
  </si>
  <si>
    <t>3 Year Hold</t>
  </si>
  <si>
    <t>4 Year Hold</t>
  </si>
  <si>
    <t>5 Year Hold</t>
  </si>
  <si>
    <t>6 Year Hold</t>
  </si>
  <si>
    <t>7 Year Hold</t>
  </si>
  <si>
    <t>8 Year Hold</t>
  </si>
  <si>
    <t>9 Year Hold</t>
  </si>
  <si>
    <t>Monthly PMT</t>
    <phoneticPr fontId="14" type="noConversion"/>
  </si>
  <si>
    <t>Reinvestment Rate</t>
    <phoneticPr fontId="14" type="noConversion"/>
  </si>
  <si>
    <t>Terminal Cap Rate</t>
    <phoneticPr fontId="14" type="noConversion"/>
  </si>
  <si>
    <t>Operating Exp PSF</t>
    <phoneticPr fontId="14" type="noConversion"/>
  </si>
  <si>
    <t>Inflate OE</t>
    <phoneticPr fontId="14" type="noConversion"/>
  </si>
  <si>
    <t>Original Basis</t>
    <phoneticPr fontId="14" type="noConversion"/>
  </si>
  <si>
    <t>plus: Capital Expenditures</t>
    <phoneticPr fontId="14" type="noConversion"/>
  </si>
  <si>
    <t>minus: Depreciation</t>
    <phoneticPr fontId="14" type="noConversion"/>
  </si>
  <si>
    <t>ratio</t>
    <phoneticPr fontId="14" type="noConversion"/>
  </si>
  <si>
    <t>Net income</t>
    <phoneticPr fontId="14" type="noConversion"/>
  </si>
  <si>
    <t>Debt coverage</t>
    <phoneticPr fontId="14" type="noConversion"/>
  </si>
  <si>
    <t>1 Year Hold</t>
    <phoneticPr fontId="14" type="noConversion"/>
  </si>
  <si>
    <t>IRR Overall</t>
    <phoneticPr fontId="14" type="noConversion"/>
  </si>
  <si>
    <t>IRR on Equity</t>
    <phoneticPr fontId="14" type="noConversion"/>
  </si>
  <si>
    <t>IRR on Mortgage</t>
    <phoneticPr fontId="14" type="noConversion"/>
  </si>
  <si>
    <t>IRRo</t>
    <phoneticPr fontId="14" type="noConversion"/>
  </si>
  <si>
    <t>CF1</t>
    <phoneticPr fontId="14" type="noConversion"/>
  </si>
  <si>
    <t>Contract Services:</t>
    <phoneticPr fontId="14" type="noConversion"/>
  </si>
  <si>
    <t>HVAC</t>
    <phoneticPr fontId="14" type="noConversion"/>
  </si>
  <si>
    <t>Elevator</t>
    <phoneticPr fontId="14" type="noConversion"/>
  </si>
  <si>
    <t>EFFECTIVE RENTAL INCOME</t>
    <phoneticPr fontId="14" type="noConversion"/>
  </si>
  <si>
    <t>TOTAL OPERATING EXPENSES</t>
    <phoneticPr fontId="14" type="noConversion"/>
  </si>
  <si>
    <t>NET OPERATING INCOME</t>
    <phoneticPr fontId="14" type="noConversion"/>
  </si>
  <si>
    <t>Less: Annual Debt Service</t>
    <phoneticPr fontId="14" type="noConversion"/>
  </si>
  <si>
    <t>BEFORE TAX CASH FLOW</t>
    <phoneticPr fontId="14" type="noConversion"/>
  </si>
  <si>
    <t>Potential Gross Income</t>
    <phoneticPr fontId="14" type="noConversion"/>
  </si>
  <si>
    <t>Vacancy &amp; Credit Losses</t>
    <phoneticPr fontId="14" type="noConversion"/>
  </si>
  <si>
    <t>Other Income</t>
    <phoneticPr fontId="14" type="noConversion"/>
  </si>
  <si>
    <t>Effective Gross Income</t>
    <phoneticPr fontId="14" type="noConversion"/>
  </si>
  <si>
    <t>Operating Expenses</t>
    <phoneticPr fontId="14" type="noConversion"/>
  </si>
  <si>
    <t>Net Operating Income</t>
    <phoneticPr fontId="14" type="noConversion"/>
  </si>
  <si>
    <t>Debt Service</t>
    <phoneticPr fontId="14" type="noConversion"/>
  </si>
  <si>
    <t>Before Tax Cash Flow</t>
    <phoneticPr fontId="14" type="noConversion"/>
  </si>
  <si>
    <t>Sale Value</t>
    <phoneticPr fontId="14" type="noConversion"/>
  </si>
  <si>
    <t>Before Tax Cash Flows:</t>
    <phoneticPr fontId="14" type="noConversion"/>
  </si>
  <si>
    <t>Building Data</t>
    <phoneticPr fontId="14" type="noConversion"/>
  </si>
  <si>
    <t>Bldg RSF</t>
    <phoneticPr fontId="14" type="noConversion"/>
  </si>
  <si>
    <t>OE/RSF</t>
    <phoneticPr fontId="14" type="noConversion"/>
  </si>
  <si>
    <t>Rents RSF</t>
    <phoneticPr fontId="14" type="noConversion"/>
  </si>
  <si>
    <t>First Year Operating Statement</t>
    <phoneticPr fontId="14" type="noConversion"/>
  </si>
  <si>
    <t>Year 1</t>
    <phoneticPr fontId="15" type="noConversion"/>
  </si>
  <si>
    <t>Year 2</t>
  </si>
  <si>
    <t>Year 3</t>
  </si>
  <si>
    <t>Year 4</t>
  </si>
  <si>
    <t>Year 5</t>
  </si>
  <si>
    <t>Year 6</t>
  </si>
  <si>
    <t>Vacancy by Year</t>
    <phoneticPr fontId="14" type="noConversion"/>
  </si>
  <si>
    <t>Year 7</t>
  </si>
  <si>
    <t>Year 8</t>
  </si>
  <si>
    <t>Year 9</t>
  </si>
  <si>
    <t>Year 10</t>
  </si>
  <si>
    <t>Year 11</t>
  </si>
  <si>
    <t>Done</t>
  </si>
  <si>
    <t>Vacancy %</t>
  </si>
  <si>
    <t>General Data</t>
    <phoneticPr fontId="14" type="noConversion"/>
  </si>
  <si>
    <t>Purchase Price</t>
    <phoneticPr fontId="14" type="noConversion"/>
  </si>
  <si>
    <t>Selling Costs</t>
    <phoneticPr fontId="14" type="noConversion"/>
  </si>
  <si>
    <t>Market Rent PSF</t>
    <phoneticPr fontId="14" type="noConversion"/>
  </si>
  <si>
    <t>Annual Property Operating Data Input Sheet</t>
    <phoneticPr fontId="14" type="noConversion"/>
  </si>
  <si>
    <t>10 Year Before Tax Analysis</t>
    <phoneticPr fontId="14" type="noConversion"/>
  </si>
  <si>
    <t>PV of BTCF year 1 @ IRR</t>
    <phoneticPr fontId="14" type="noConversion"/>
  </si>
  <si>
    <t>PV of debt reduction @ IRR</t>
    <phoneticPr fontId="14" type="noConversion"/>
  </si>
  <si>
    <t>PV of CF0 return @ IRR</t>
    <phoneticPr fontId="14" type="noConversion"/>
  </si>
  <si>
    <t>Cash on Cash</t>
    <phoneticPr fontId="14" type="noConversion"/>
  </si>
  <si>
    <t>Mtg Constant</t>
    <phoneticPr fontId="14" type="noConversion"/>
  </si>
  <si>
    <t>Total</t>
    <phoneticPr fontId="14" type="noConversion"/>
  </si>
  <si>
    <t>Full Partition</t>
    <phoneticPr fontId="14" type="noConversion"/>
  </si>
  <si>
    <t>PV of Appreciation @ IRR</t>
    <phoneticPr fontId="14" type="noConversion"/>
  </si>
  <si>
    <t>PV of BTCF increases @ IRR</t>
    <phoneticPr fontId="14" type="noConversion"/>
  </si>
  <si>
    <t>10 Year After Tax Analysis</t>
    <phoneticPr fontId="14" type="noConversion"/>
  </si>
  <si>
    <t>MIRR</t>
    <phoneticPr fontId="14" type="noConversion"/>
  </si>
  <si>
    <t>Finance (safe) Rate</t>
    <phoneticPr fontId="14" type="noConversion"/>
  </si>
  <si>
    <t>minus: Costs of Sale</t>
    <phoneticPr fontId="14" type="noConversion"/>
  </si>
  <si>
    <t>minus: Mortgage Balance</t>
    <phoneticPr fontId="14" type="noConversion"/>
  </si>
  <si>
    <t>Net Cash From Sale</t>
    <phoneticPr fontId="14" type="noConversion"/>
  </si>
  <si>
    <t>IRR After Tax</t>
    <phoneticPr fontId="14" type="noConversion"/>
  </si>
  <si>
    <t>CF0</t>
    <phoneticPr fontId="14" type="noConversion"/>
  </si>
  <si>
    <t>IRR After Tax</t>
    <phoneticPr fontId="14" type="noConversion"/>
  </si>
  <si>
    <t>GPV @ discount rate</t>
    <phoneticPr fontId="14" type="noConversion"/>
  </si>
  <si>
    <t>NPV @ discount rate</t>
    <phoneticPr fontId="14" type="noConversion"/>
  </si>
  <si>
    <t>Net Operating Income</t>
    <phoneticPr fontId="14" type="noConversion"/>
  </si>
  <si>
    <t>OPERATING EXPENSES:</t>
    <phoneticPr fontId="14" type="noConversion"/>
  </si>
  <si>
    <t>POTENTIAL RENTAL INCOME</t>
    <phoneticPr fontId="14" type="noConversion"/>
  </si>
  <si>
    <t xml:space="preserve">Name </t>
    <phoneticPr fontId="14" type="noConversion"/>
  </si>
  <si>
    <t>Location</t>
    <phoneticPr fontId="14" type="noConversion"/>
  </si>
  <si>
    <t>Tax on Gain and Recapture</t>
    <phoneticPr fontId="14" type="noConversion"/>
  </si>
  <si>
    <t>ATCF1</t>
    <phoneticPr fontId="14" type="noConversion"/>
  </si>
  <si>
    <t>Adjusted Basis</t>
    <phoneticPr fontId="14" type="noConversion"/>
  </si>
  <si>
    <t>Reversion Value</t>
    <phoneticPr fontId="14" type="noConversion"/>
  </si>
  <si>
    <t>less: Cost of Sale</t>
    <phoneticPr fontId="14" type="noConversion"/>
  </si>
  <si>
    <t>less: Adjusted Basis</t>
    <phoneticPr fontId="14" type="noConversion"/>
  </si>
  <si>
    <t>Gain On Sale</t>
    <phoneticPr fontId="14" type="noConversion"/>
  </si>
  <si>
    <t>Depreciation Taken</t>
    <phoneticPr fontId="14" type="noConversion"/>
  </si>
  <si>
    <t>Tax Rate on Depreciation</t>
    <phoneticPr fontId="14" type="noConversion"/>
  </si>
  <si>
    <t>Before Tax Cash Flow</t>
    <phoneticPr fontId="14" type="noConversion"/>
  </si>
  <si>
    <t>minus: Depreciation</t>
    <phoneticPr fontId="14" type="noConversion"/>
  </si>
  <si>
    <t>plus: Principle</t>
    <phoneticPr fontId="14" type="noConversion"/>
  </si>
  <si>
    <t>Taxable Income</t>
    <phoneticPr fontId="14" type="noConversion"/>
  </si>
  <si>
    <t>times: Tax Rate</t>
    <phoneticPr fontId="14" type="noConversion"/>
  </si>
  <si>
    <t>Taxes Due</t>
    <phoneticPr fontId="14" type="noConversion"/>
  </si>
  <si>
    <t>less: Taxes Due</t>
    <phoneticPr fontId="14" type="noConversion"/>
  </si>
  <si>
    <t>Before Tax Cash Flow</t>
    <phoneticPr fontId="14" type="noConversion"/>
  </si>
  <si>
    <t>Unleveraged After Tax Cash Flows</t>
    <phoneticPr fontId="14" type="noConversion"/>
  </si>
  <si>
    <t>10 Year IRR Profile &amp; Partition</t>
    <phoneticPr fontId="14" type="noConversion"/>
  </si>
  <si>
    <t>Loan %</t>
    <phoneticPr fontId="14" type="noConversion"/>
  </si>
  <si>
    <t>Net Operating Income</t>
    <phoneticPr fontId="14" type="noConversion"/>
  </si>
  <si>
    <t>Loan %</t>
    <phoneticPr fontId="14" type="noConversion"/>
  </si>
  <si>
    <t>Loan Amount</t>
    <phoneticPr fontId="14" type="noConversion"/>
  </si>
  <si>
    <t>Interest Rate/yr</t>
    <phoneticPr fontId="14" type="noConversion"/>
  </si>
  <si>
    <t>Monthly Constant</t>
    <phoneticPr fontId="14" type="noConversion"/>
  </si>
  <si>
    <t>Term/years</t>
    <phoneticPr fontId="14" type="noConversion"/>
  </si>
  <si>
    <t>Term/months</t>
    <phoneticPr fontId="14" type="noConversion"/>
  </si>
  <si>
    <t>Monthly PMT</t>
    <phoneticPr fontId="14" type="noConversion"/>
  </si>
  <si>
    <t>Annual DS</t>
    <phoneticPr fontId="14" type="noConversion"/>
  </si>
  <si>
    <t>Investor's Discount Rate</t>
    <phoneticPr fontId="14" type="noConversion"/>
  </si>
  <si>
    <t>Single Period Financial Leverage</t>
    <phoneticPr fontId="14" type="noConversion"/>
  </si>
  <si>
    <t>Going in Cap</t>
    <phoneticPr fontId="14" type="noConversion"/>
  </si>
  <si>
    <t>End of Year</t>
    <phoneticPr fontId="14" type="noConversion"/>
  </si>
  <si>
    <t>Appreciation</t>
    <phoneticPr fontId="14" type="noConversion"/>
  </si>
  <si>
    <t>BCTF Increases</t>
    <phoneticPr fontId="14" type="noConversion"/>
  </si>
  <si>
    <t>BTCF 1</t>
    <phoneticPr fontId="14" type="noConversion"/>
  </si>
  <si>
    <t>Debt Reduction</t>
    <phoneticPr fontId="14" type="noConversion"/>
  </si>
  <si>
    <t>CF0 Return</t>
    <phoneticPr fontId="14" type="noConversion"/>
  </si>
  <si>
    <t>BTCF</t>
    <phoneticPr fontId="14" type="noConversion"/>
  </si>
  <si>
    <t>End of Year</t>
    <phoneticPr fontId="14" type="noConversion"/>
  </si>
  <si>
    <t>Appreciation</t>
    <phoneticPr fontId="14" type="noConversion"/>
  </si>
  <si>
    <t>BCTF Increases</t>
    <phoneticPr fontId="14" type="noConversion"/>
  </si>
  <si>
    <t>BTCF 1</t>
    <phoneticPr fontId="14" type="noConversion"/>
  </si>
  <si>
    <t>Debt Reduction</t>
    <phoneticPr fontId="14" type="noConversion"/>
  </si>
  <si>
    <t>CF0 Return</t>
    <phoneticPr fontId="14" type="noConversion"/>
  </si>
  <si>
    <t>BTCF</t>
    <phoneticPr fontId="14" type="noConversion"/>
  </si>
  <si>
    <t>rate at purchase</t>
    <phoneticPr fontId="14" type="noConversion"/>
  </si>
  <si>
    <t>Equity dividend</t>
    <phoneticPr fontId="14" type="noConversion"/>
  </si>
  <si>
    <t>rate</t>
    <phoneticPr fontId="14" type="noConversion"/>
  </si>
  <si>
    <t>Property Type</t>
    <phoneticPr fontId="14" type="noConversion"/>
  </si>
  <si>
    <t>Investor's Discount rate</t>
    <phoneticPr fontId="14" type="noConversion"/>
  </si>
  <si>
    <t>Size (RSF)</t>
    <phoneticPr fontId="14" type="noConversion"/>
  </si>
  <si>
    <t>Appraised Values:</t>
    <phoneticPr fontId="14" type="noConversion"/>
  </si>
  <si>
    <t>Land</t>
    <phoneticPr fontId="14" type="noConversion"/>
  </si>
  <si>
    <t>Improvements</t>
    <phoneticPr fontId="14" type="noConversion"/>
  </si>
  <si>
    <t>EOY Internal Investment</t>
    <phoneticPr fontId="14" type="noConversion"/>
  </si>
  <si>
    <t>+</t>
    <phoneticPr fontId="14" type="noConversion"/>
  </si>
  <si>
    <t>=</t>
    <phoneticPr fontId="14" type="noConversion"/>
  </si>
  <si>
    <t>IRRe</t>
    <phoneticPr fontId="14" type="noConversion"/>
  </si>
  <si>
    <t>After Tax</t>
    <phoneticPr fontId="14" type="noConversion"/>
  </si>
  <si>
    <t>IRRe=</t>
    <phoneticPr fontId="14" type="noConversion"/>
  </si>
  <si>
    <t>5 Year Before Tax Analysis</t>
    <phoneticPr fontId="14" type="noConversion"/>
  </si>
  <si>
    <t>5 Year After Tax Analysis</t>
    <phoneticPr fontId="14" type="noConversion"/>
  </si>
  <si>
    <t>10 Year Hold</t>
  </si>
  <si>
    <t>Detailed IRR calculations</t>
    <phoneticPr fontId="14" type="noConversion"/>
  </si>
  <si>
    <t>CF0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</si>
</sst>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0.0%"/>
    <numFmt numFmtId="167" formatCode="&quot;$&quot;#,##0.00;[Red]&quot;$&quot;#,##0.00"/>
    <numFmt numFmtId="168" formatCode="0.00000"/>
  </numFmts>
  <fonts count="24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Arial"/>
    </font>
    <font>
      <b/>
      <sz val="10"/>
      <name val="Arial"/>
      <family val="2"/>
    </font>
    <font>
      <u/>
      <sz val="10"/>
      <color indexed="12"/>
      <name val="Verdana"/>
    </font>
    <font>
      <b/>
      <sz val="12"/>
      <name val="Verdana"/>
    </font>
    <font>
      <b/>
      <sz val="10"/>
      <color indexed="12"/>
      <name val="Verdana"/>
    </font>
    <font>
      <sz val="10"/>
      <color indexed="12"/>
      <name val="Verdana"/>
    </font>
    <font>
      <sz val="9"/>
      <name val="Verdana"/>
    </font>
    <font>
      <sz val="10"/>
      <color indexed="11"/>
      <name val="Verdana"/>
    </font>
    <font>
      <b/>
      <sz val="10"/>
      <color indexed="11"/>
      <name val="Verdana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41"/>
      </left>
      <right style="medium">
        <color auto="1"/>
      </right>
      <top style="medium">
        <color auto="1"/>
      </top>
      <bottom style="medium">
        <color indexed="41"/>
      </bottom>
      <diagonal/>
    </border>
    <border>
      <left style="medium">
        <color auto="1"/>
      </left>
      <right style="medium">
        <color indexed="41"/>
      </right>
      <top style="medium">
        <color indexed="41"/>
      </top>
      <bottom style="medium">
        <color indexed="41"/>
      </bottom>
      <diagonal/>
    </border>
    <border>
      <left style="medium">
        <color indexed="41"/>
      </left>
      <right style="medium">
        <color indexed="41"/>
      </right>
      <top style="medium">
        <color indexed="41"/>
      </top>
      <bottom style="medium">
        <color indexed="41"/>
      </bottom>
      <diagonal/>
    </border>
    <border>
      <left style="medium">
        <color indexed="41"/>
      </left>
      <right style="medium">
        <color auto="1"/>
      </right>
      <top style="medium">
        <color indexed="41"/>
      </top>
      <bottom style="medium">
        <color indexed="41"/>
      </bottom>
      <diagonal/>
    </border>
    <border>
      <left style="medium">
        <color auto="1"/>
      </left>
      <right style="medium">
        <color indexed="41"/>
      </right>
      <top style="medium">
        <color indexed="41"/>
      </top>
      <bottom style="medium">
        <color auto="1"/>
      </bottom>
      <diagonal/>
    </border>
    <border>
      <left style="medium">
        <color indexed="41"/>
      </left>
      <right/>
      <top style="medium">
        <color indexed="41"/>
      </top>
      <bottom style="medium">
        <color indexed="41"/>
      </bottom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/>
      <right style="medium">
        <color auto="1"/>
      </right>
      <top style="medium">
        <color indexed="41"/>
      </top>
      <bottom style="medium">
        <color indexed="41"/>
      </bottom>
      <diagonal/>
    </border>
    <border>
      <left style="medium">
        <color indexed="41"/>
      </left>
      <right style="medium">
        <color indexed="41"/>
      </right>
      <top/>
      <bottom/>
      <diagonal/>
    </border>
    <border>
      <left style="medium">
        <color indexed="41"/>
      </left>
      <right/>
      <top style="medium">
        <color indexed="41"/>
      </top>
      <bottom/>
      <diagonal/>
    </border>
    <border>
      <left style="medium">
        <color indexed="13"/>
      </left>
      <right style="medium">
        <color indexed="13"/>
      </right>
      <top style="medium">
        <color indexed="13"/>
      </top>
      <bottom/>
      <diagonal/>
    </border>
    <border>
      <left style="medium">
        <color auto="1"/>
      </left>
      <right/>
      <top style="medium">
        <color indexed="41"/>
      </top>
      <bottom style="medium">
        <color indexed="41"/>
      </bottom>
      <diagonal/>
    </border>
    <border>
      <left style="medium">
        <color indexed="41"/>
      </left>
      <right/>
      <top/>
      <bottom/>
      <diagonal/>
    </border>
    <border>
      <left style="medium">
        <color indexed="13"/>
      </left>
      <right style="medium">
        <color indexed="13"/>
      </right>
      <top/>
      <bottom style="medium">
        <color indexed="13"/>
      </bottom>
      <diagonal/>
    </border>
    <border>
      <left/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medium">
        <color indexed="41"/>
      </left>
      <right/>
      <top/>
      <bottom style="medium">
        <color indexed="41"/>
      </bottom>
      <diagonal/>
    </border>
    <border>
      <left style="medium">
        <color indexed="41"/>
      </left>
      <right style="medium">
        <color indexed="41"/>
      </right>
      <top style="medium">
        <color indexed="41"/>
      </top>
      <bottom style="medium">
        <color auto="1"/>
      </bottom>
      <diagonal/>
    </border>
    <border>
      <left style="medium">
        <color indexed="41"/>
      </left>
      <right style="medium">
        <color indexed="41"/>
      </right>
      <top/>
      <bottom style="medium">
        <color auto="1"/>
      </bottom>
      <diagonal/>
    </border>
    <border>
      <left style="medium">
        <color indexed="41"/>
      </left>
      <right style="medium">
        <color auto="1"/>
      </right>
      <top style="medium">
        <color indexed="41"/>
      </top>
      <bottom style="medium">
        <color auto="1"/>
      </bottom>
      <diagonal/>
    </border>
    <border>
      <left/>
      <right style="medium">
        <color indexed="13"/>
      </right>
      <top/>
      <bottom style="medium">
        <color indexed="13"/>
      </bottom>
      <diagonal/>
    </border>
    <border>
      <left style="medium">
        <color auto="1"/>
      </left>
      <right style="medium">
        <color indexed="44"/>
      </right>
      <top style="medium">
        <color indexed="44"/>
      </top>
      <bottom style="medium">
        <color auto="1"/>
      </bottom>
      <diagonal/>
    </border>
    <border>
      <left style="medium">
        <color indexed="44"/>
      </left>
      <right style="medium">
        <color auto="1"/>
      </right>
      <top style="medium">
        <color indexed="44"/>
      </top>
      <bottom style="medium">
        <color indexed="44"/>
      </bottom>
      <diagonal/>
    </border>
    <border>
      <left style="medium">
        <color auto="1"/>
      </left>
      <right style="medium">
        <color indexed="41"/>
      </right>
      <top/>
      <bottom style="medium">
        <color indexed="41"/>
      </bottom>
      <diagonal/>
    </border>
    <border>
      <left style="medium">
        <color indexed="41"/>
      </left>
      <right style="medium">
        <color indexed="41"/>
      </right>
      <top/>
      <bottom style="medium">
        <color indexed="41"/>
      </bottom>
      <diagonal/>
    </border>
    <border>
      <left style="medium">
        <color indexed="41"/>
      </left>
      <right style="medium">
        <color auto="1"/>
      </right>
      <top/>
      <bottom style="medium">
        <color indexed="41"/>
      </bottom>
      <diagonal/>
    </border>
    <border>
      <left style="medium">
        <color auto="1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auto="1"/>
      </right>
      <top style="medium">
        <color indexed="44"/>
      </top>
      <bottom style="medium">
        <color auto="1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44"/>
      </right>
      <top style="medium">
        <color auto="1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auto="1"/>
      </top>
      <bottom style="medium">
        <color indexed="44"/>
      </bottom>
      <diagonal/>
    </border>
    <border>
      <left style="medium">
        <color indexed="44"/>
      </left>
      <right style="medium">
        <color auto="1"/>
      </right>
      <top style="medium">
        <color auto="1"/>
      </top>
      <bottom style="medium">
        <color indexed="44"/>
      </bottom>
      <diagonal/>
    </border>
    <border>
      <left/>
      <right/>
      <top/>
      <bottom style="medium">
        <color indexed="13"/>
      </bottom>
      <diagonal/>
    </border>
    <border>
      <left/>
      <right/>
      <top style="medium">
        <color indexed="13"/>
      </top>
      <bottom style="medium">
        <color indexed="13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/>
      <diagonal/>
    </border>
    <border>
      <left style="medium">
        <color indexed="44"/>
      </left>
      <right style="medium">
        <color indexed="44"/>
      </right>
      <top/>
      <bottom/>
      <diagonal/>
    </border>
    <border>
      <left style="medium">
        <color indexed="44"/>
      </left>
      <right style="medium">
        <color indexed="44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44"/>
      </top>
      <bottom style="medium">
        <color indexed="44"/>
      </bottom>
      <diagonal/>
    </border>
    <border>
      <left/>
      <right style="medium">
        <color auto="1"/>
      </right>
      <top style="medium">
        <color indexed="44"/>
      </top>
      <bottom style="medium">
        <color indexed="4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165" fontId="0" fillId="0" borderId="0" xfId="0" applyNumberFormat="1"/>
    <xf numFmtId="167" fontId="0" fillId="0" borderId="0" xfId="0" applyNumberFormat="1"/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7" fillId="0" borderId="0" xfId="1" applyAlignment="1" applyProtection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/>
    <xf numFmtId="0" fontId="9" fillId="0" borderId="10" xfId="0" applyFont="1" applyBorder="1"/>
    <xf numFmtId="0" fontId="0" fillId="0" borderId="10" xfId="0" applyBorder="1"/>
    <xf numFmtId="0" fontId="19" fillId="0" borderId="0" xfId="0" applyFont="1" applyFill="1" applyBorder="1"/>
    <xf numFmtId="0" fontId="20" fillId="0" borderId="0" xfId="0" applyFont="1"/>
    <xf numFmtId="0" fontId="10" fillId="0" borderId="0" xfId="0" applyFont="1"/>
    <xf numFmtId="0" fontId="21" fillId="0" borderId="0" xfId="0" applyFont="1"/>
    <xf numFmtId="0" fontId="0" fillId="0" borderId="15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2" fontId="0" fillId="0" borderId="0" xfId="0" applyNumberFormat="1"/>
    <xf numFmtId="10" fontId="0" fillId="5" borderId="0" xfId="0" applyNumberFormat="1" applyFill="1"/>
    <xf numFmtId="2" fontId="0" fillId="5" borderId="0" xfId="0" applyNumberFormat="1" applyFill="1"/>
    <xf numFmtId="10" fontId="0" fillId="5" borderId="0" xfId="0" applyNumberFormat="1" applyFill="1"/>
    <xf numFmtId="0" fontId="8" fillId="6" borderId="2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2" fontId="0" fillId="0" borderId="0" xfId="0" applyNumberFormat="1" applyAlignment="1"/>
    <xf numFmtId="165" fontId="0" fillId="5" borderId="0" xfId="0" applyNumberFormat="1" applyFill="1"/>
    <xf numFmtId="165" fontId="0" fillId="5" borderId="18" xfId="0" applyNumberFormat="1" applyFill="1" applyBorder="1"/>
    <xf numFmtId="165" fontId="0" fillId="8" borderId="0" xfId="0" applyNumberFormat="1" applyFill="1"/>
    <xf numFmtId="165" fontId="0" fillId="5" borderId="10" xfId="0" applyNumberFormat="1" applyFill="1" applyBorder="1"/>
    <xf numFmtId="9" fontId="0" fillId="5" borderId="0" xfId="0" applyNumberFormat="1" applyFill="1"/>
    <xf numFmtId="9" fontId="0" fillId="5" borderId="0" xfId="0" applyNumberFormat="1" applyFill="1"/>
    <xf numFmtId="6" fontId="0" fillId="5" borderId="0" xfId="0" applyNumberFormat="1" applyFill="1"/>
    <xf numFmtId="165" fontId="0" fillId="5" borderId="0" xfId="0" applyNumberFormat="1" applyFill="1" applyAlignment="1">
      <alignment horizontal="right"/>
    </xf>
    <xf numFmtId="166" fontId="0" fillId="5" borderId="0" xfId="0" applyNumberFormat="1" applyFill="1"/>
    <xf numFmtId="10" fontId="0" fillId="5" borderId="10" xfId="0" applyNumberFormat="1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0" fillId="5" borderId="0" xfId="0" applyFill="1" applyBorder="1"/>
    <xf numFmtId="167" fontId="0" fillId="5" borderId="0" xfId="0" applyNumberFormat="1" applyFill="1" applyBorder="1"/>
    <xf numFmtId="164" fontId="0" fillId="5" borderId="0" xfId="0" applyNumberFormat="1" applyFill="1" applyBorder="1"/>
    <xf numFmtId="10" fontId="0" fillId="5" borderId="0" xfId="0" applyNumberFormat="1" applyFill="1" applyBorder="1"/>
    <xf numFmtId="164" fontId="0" fillId="5" borderId="0" xfId="0" applyNumberFormat="1" applyFill="1"/>
    <xf numFmtId="165" fontId="0" fillId="5" borderId="3" xfId="0" applyNumberFormat="1" applyFill="1" applyBorder="1"/>
    <xf numFmtId="164" fontId="0" fillId="5" borderId="3" xfId="0" applyNumberFormat="1" applyFill="1" applyBorder="1"/>
    <xf numFmtId="167" fontId="0" fillId="5" borderId="0" xfId="0" applyNumberFormat="1" applyFill="1"/>
    <xf numFmtId="165" fontId="0" fillId="7" borderId="5" xfId="0" applyNumberFormat="1" applyFill="1" applyBorder="1"/>
    <xf numFmtId="164" fontId="0" fillId="7" borderId="5" xfId="0" applyNumberFormat="1" applyFill="1" applyBorder="1"/>
    <xf numFmtId="9" fontId="0" fillId="7" borderId="5" xfId="0" applyNumberFormat="1" applyFill="1" applyBorder="1"/>
    <xf numFmtId="10" fontId="0" fillId="7" borderId="5" xfId="0" applyNumberFormat="1" applyFill="1" applyBorder="1"/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10" fontId="0" fillId="7" borderId="5" xfId="0" applyNumberFormat="1" applyFill="1" applyBorder="1"/>
    <xf numFmtId="0" fontId="0" fillId="8" borderId="0" xfId="0" applyFill="1"/>
    <xf numFmtId="168" fontId="0" fillId="7" borderId="5" xfId="0" applyNumberFormat="1" applyFill="1" applyBorder="1"/>
    <xf numFmtId="3" fontId="0" fillId="7" borderId="5" xfId="0" applyNumberFormat="1" applyFill="1" applyBorder="1"/>
    <xf numFmtId="164" fontId="0" fillId="7" borderId="5" xfId="0" applyNumberFormat="1" applyFill="1" applyBorder="1"/>
    <xf numFmtId="10" fontId="0" fillId="5" borderId="15" xfId="0" applyNumberFormat="1" applyFill="1" applyBorder="1"/>
    <xf numFmtId="0" fontId="7" fillId="6" borderId="2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9" fillId="0" borderId="15" xfId="0" applyFont="1" applyBorder="1"/>
    <xf numFmtId="165" fontId="0" fillId="5" borderId="15" xfId="0" applyNumberFormat="1" applyFill="1" applyBorder="1"/>
    <xf numFmtId="165" fontId="0" fillId="8" borderId="15" xfId="0" applyNumberFormat="1" applyFill="1" applyBorder="1"/>
    <xf numFmtId="0" fontId="0" fillId="0" borderId="0" xfId="0" applyFill="1" applyBorder="1"/>
    <xf numFmtId="0" fontId="0" fillId="0" borderId="15" xfId="0" applyFill="1" applyBorder="1"/>
    <xf numFmtId="0" fontId="0" fillId="0" borderId="0" xfId="0" applyBorder="1"/>
    <xf numFmtId="165" fontId="0" fillId="5" borderId="0" xfId="0" applyNumberFormat="1" applyFill="1"/>
    <xf numFmtId="0" fontId="0" fillId="5" borderId="0" xfId="0" applyFill="1"/>
    <xf numFmtId="166" fontId="0" fillId="3" borderId="5" xfId="0" applyNumberFormat="1" applyFill="1" applyBorder="1"/>
    <xf numFmtId="164" fontId="0" fillId="0" borderId="0" xfId="0" applyNumberFormat="1"/>
    <xf numFmtId="0" fontId="5" fillId="0" borderId="0" xfId="0" applyFont="1"/>
    <xf numFmtId="0" fontId="5" fillId="0" borderId="3" xfId="0" applyFont="1" applyBorder="1"/>
    <xf numFmtId="0" fontId="0" fillId="0" borderId="3" xfId="0" applyBorder="1"/>
    <xf numFmtId="0" fontId="5" fillId="0" borderId="17" xfId="0" applyFont="1" applyBorder="1"/>
    <xf numFmtId="0" fontId="0" fillId="0" borderId="17" xfId="0" applyBorder="1"/>
    <xf numFmtId="0" fontId="0" fillId="0" borderId="0" xfId="0" applyAlignment="1"/>
    <xf numFmtId="0" fontId="5" fillId="6" borderId="2" xfId="0" applyFont="1" applyFill="1" applyBorder="1" applyAlignment="1">
      <alignment horizontal="center"/>
    </xf>
    <xf numFmtId="0" fontId="0" fillId="0" borderId="10" xfId="0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3" xfId="0" applyFont="1" applyBorder="1"/>
    <xf numFmtId="0" fontId="0" fillId="0" borderId="21" xfId="0" applyBorder="1"/>
    <xf numFmtId="0" fontId="5" fillId="0" borderId="1" xfId="0" applyFont="1" applyBorder="1"/>
    <xf numFmtId="0" fontId="5" fillId="0" borderId="23" xfId="0" applyFont="1" applyBorder="1"/>
    <xf numFmtId="0" fontId="5" fillId="0" borderId="21" xfId="0" applyFont="1" applyBorder="1"/>
    <xf numFmtId="165" fontId="0" fillId="7" borderId="5" xfId="0" applyNumberFormat="1" applyFill="1" applyBorder="1"/>
    <xf numFmtId="0" fontId="9" fillId="6" borderId="0" xfId="0" applyFont="1" applyFill="1" applyBorder="1"/>
    <xf numFmtId="0" fontId="5" fillId="6" borderId="0" xfId="0" applyFont="1" applyFill="1" applyBorder="1" applyAlignment="1">
      <alignment horizontal="center"/>
    </xf>
    <xf numFmtId="165" fontId="0" fillId="5" borderId="0" xfId="0" applyNumberFormat="1" applyFill="1" applyBorder="1"/>
    <xf numFmtId="9" fontId="0" fillId="5" borderId="15" xfId="0" applyNumberFormat="1" applyFill="1" applyBorder="1"/>
    <xf numFmtId="165" fontId="20" fillId="0" borderId="0" xfId="0" applyNumberFormat="1" applyFont="1"/>
    <xf numFmtId="165" fontId="0" fillId="5" borderId="15" xfId="0" applyNumberFormat="1" applyFill="1" applyBorder="1"/>
    <xf numFmtId="165" fontId="0" fillId="5" borderId="15" xfId="0" applyNumberFormat="1" applyFill="1" applyBorder="1"/>
    <xf numFmtId="165" fontId="0" fillId="5" borderId="17" xfId="0" applyNumberFormat="1" applyFill="1" applyBorder="1"/>
    <xf numFmtId="165" fontId="0" fillId="5" borderId="3" xfId="0" applyNumberFormat="1" applyFill="1" applyBorder="1"/>
    <xf numFmtId="165" fontId="0" fillId="5" borderId="0" xfId="0" applyNumberFormat="1" applyFill="1"/>
    <xf numFmtId="165" fontId="0" fillId="5" borderId="15" xfId="0" applyNumberFormat="1" applyFill="1" applyBorder="1"/>
    <xf numFmtId="165" fontId="0" fillId="5" borderId="17" xfId="0" applyNumberFormat="1" applyFill="1" applyBorder="1"/>
    <xf numFmtId="9" fontId="0" fillId="5" borderId="0" xfId="0" applyNumberFormat="1" applyFill="1"/>
    <xf numFmtId="165" fontId="0" fillId="5" borderId="15" xfId="0" applyNumberFormat="1" applyFill="1" applyBorder="1"/>
    <xf numFmtId="165" fontId="0" fillId="5" borderId="0" xfId="0" applyNumberFormat="1" applyFill="1"/>
    <xf numFmtId="165" fontId="0" fillId="5" borderId="10" xfId="0" applyNumberFormat="1" applyFill="1" applyBorder="1"/>
    <xf numFmtId="8" fontId="0" fillId="5" borderId="0" xfId="0" applyNumberFormat="1" applyFill="1"/>
    <xf numFmtId="8" fontId="0" fillId="5" borderId="0" xfId="0" applyNumberFormat="1" applyFill="1"/>
    <xf numFmtId="165" fontId="0" fillId="5" borderId="0" xfId="0" applyNumberFormat="1" applyFill="1" applyBorder="1"/>
    <xf numFmtId="9" fontId="0" fillId="5" borderId="15" xfId="0" applyNumberFormat="1" applyFill="1" applyBorder="1"/>
    <xf numFmtId="165" fontId="0" fillId="5" borderId="15" xfId="0" applyNumberFormat="1" applyFill="1" applyBorder="1"/>
    <xf numFmtId="165" fontId="0" fillId="5" borderId="0" xfId="0" applyNumberFormat="1" applyFill="1"/>
    <xf numFmtId="165" fontId="0" fillId="5" borderId="3" xfId="0" applyNumberFormat="1" applyFill="1" applyBorder="1"/>
    <xf numFmtId="165" fontId="0" fillId="5" borderId="15" xfId="0" applyNumberFormat="1" applyFill="1" applyBorder="1"/>
    <xf numFmtId="165" fontId="0" fillId="5" borderId="17" xfId="0" applyNumberFormat="1" applyFill="1" applyBorder="1"/>
    <xf numFmtId="165" fontId="0" fillId="8" borderId="26" xfId="0" applyNumberFormat="1" applyFill="1" applyBorder="1"/>
    <xf numFmtId="165" fontId="0" fillId="5" borderId="0" xfId="0" applyNumberFormat="1" applyFill="1"/>
    <xf numFmtId="165" fontId="0" fillId="8" borderId="27" xfId="0" applyNumberFormat="1" applyFill="1" applyBorder="1"/>
    <xf numFmtId="0" fontId="0" fillId="0" borderId="0" xfId="0" applyAlignment="1"/>
    <xf numFmtId="0" fontId="5" fillId="0" borderId="0" xfId="0" applyFont="1" applyAlignment="1">
      <alignment horizontal="center" vertical="center"/>
    </xf>
    <xf numFmtId="10" fontId="0" fillId="5" borderId="0" xfId="0" applyNumberFormat="1" applyFill="1"/>
    <xf numFmtId="165" fontId="0" fillId="5" borderId="17" xfId="0" applyNumberFormat="1" applyFill="1" applyBorder="1"/>
    <xf numFmtId="165" fontId="0" fillId="5" borderId="0" xfId="0" applyNumberFormat="1" applyFill="1"/>
    <xf numFmtId="0" fontId="2" fillId="0" borderId="0" xfId="0" applyFont="1"/>
    <xf numFmtId="0" fontId="3" fillId="0" borderId="0" xfId="0" applyFont="1"/>
    <xf numFmtId="165" fontId="0" fillId="5" borderId="0" xfId="0" applyNumberFormat="1" applyFill="1"/>
    <xf numFmtId="165" fontId="0" fillId="5" borderId="0" xfId="0" applyNumberFormat="1" applyFill="1"/>
    <xf numFmtId="8" fontId="0" fillId="5" borderId="0" xfId="0" applyNumberFormat="1" applyFill="1" applyBorder="1"/>
    <xf numFmtId="8" fontId="0" fillId="5" borderId="3" xfId="0" applyNumberFormat="1" applyFill="1" applyBorder="1"/>
    <xf numFmtId="8" fontId="0" fillId="5" borderId="2" xfId="0" applyNumberFormat="1" applyFill="1" applyBorder="1"/>
    <xf numFmtId="166" fontId="0" fillId="0" borderId="4" xfId="0" applyNumberFormat="1" applyBorder="1"/>
    <xf numFmtId="10" fontId="0" fillId="0" borderId="24" xfId="0" applyNumberFormat="1" applyBorder="1"/>
    <xf numFmtId="10" fontId="0" fillId="0" borderId="22" xfId="0" applyNumberFormat="1" applyBorder="1"/>
    <xf numFmtId="0" fontId="19" fillId="0" borderId="0" xfId="0" applyFont="1"/>
    <xf numFmtId="165" fontId="20" fillId="0" borderId="0" xfId="0" applyNumberFormat="1" applyFont="1"/>
    <xf numFmtId="9" fontId="20" fillId="0" borderId="0" xfId="0" applyNumberFormat="1" applyFont="1"/>
    <xf numFmtId="8" fontId="20" fillId="0" borderId="0" xfId="0" applyNumberFormat="1" applyFont="1"/>
    <xf numFmtId="165" fontId="0" fillId="7" borderId="28" xfId="0" applyNumberFormat="1" applyFill="1" applyBorder="1"/>
    <xf numFmtId="10" fontId="0" fillId="0" borderId="0" xfId="0" applyNumberFormat="1"/>
    <xf numFmtId="0" fontId="20" fillId="0" borderId="0" xfId="0" applyFont="1" applyAlignment="1">
      <alignment horizontal="center"/>
    </xf>
    <xf numFmtId="10" fontId="0" fillId="5" borderId="0" xfId="0" applyNumberFormat="1" applyFill="1"/>
    <xf numFmtId="10" fontId="0" fillId="5" borderId="16" xfId="0" applyNumberFormat="1" applyFill="1" applyBorder="1"/>
    <xf numFmtId="10" fontId="0" fillId="5" borderId="10" xfId="0" applyNumberFormat="1" applyFill="1" applyBorder="1"/>
    <xf numFmtId="10" fontId="0" fillId="5" borderId="0" xfId="0" applyNumberFormat="1" applyFill="1" applyBorder="1"/>
    <xf numFmtId="10" fontId="0" fillId="5" borderId="11" xfId="0" applyNumberFormat="1" applyFill="1" applyBorder="1"/>
    <xf numFmtId="10" fontId="0" fillId="5" borderId="13" xfId="0" applyNumberFormat="1" applyFill="1" applyBorder="1"/>
    <xf numFmtId="10" fontId="0" fillId="5" borderId="10" xfId="0" applyNumberFormat="1" applyFill="1" applyBorder="1"/>
    <xf numFmtId="10" fontId="0" fillId="5" borderId="0" xfId="0" applyNumberFormat="1" applyFill="1" applyBorder="1"/>
    <xf numFmtId="10" fontId="0" fillId="5" borderId="11" xfId="0" applyNumberFormat="1" applyFill="1" applyBorder="1"/>
    <xf numFmtId="10" fontId="0" fillId="5" borderId="13" xfId="0" applyNumberFormat="1" applyFill="1" applyBorder="1"/>
    <xf numFmtId="10" fontId="0" fillId="5" borderId="16" xfId="0" applyNumberFormat="1" applyFill="1" applyBorder="1"/>
    <xf numFmtId="165" fontId="20" fillId="0" borderId="0" xfId="0" applyNumberFormat="1" applyFont="1"/>
    <xf numFmtId="0" fontId="4" fillId="9" borderId="33" xfId="0" applyFont="1" applyFill="1" applyBorder="1" applyAlignment="1">
      <alignment horizontal="center"/>
    </xf>
    <xf numFmtId="0" fontId="0" fillId="9" borderId="29" xfId="0" applyFill="1" applyBorder="1"/>
    <xf numFmtId="0" fontId="0" fillId="9" borderId="30" xfId="0" applyFill="1" applyBorder="1"/>
    <xf numFmtId="0" fontId="0" fillId="9" borderId="32" xfId="0" applyFill="1" applyBorder="1"/>
    <xf numFmtId="0" fontId="0" fillId="9" borderId="31" xfId="0" applyFill="1" applyBorder="1"/>
    <xf numFmtId="0" fontId="4" fillId="9" borderId="30" xfId="0" applyFont="1" applyFill="1" applyBorder="1"/>
    <xf numFmtId="0" fontId="0" fillId="9" borderId="33" xfId="0" applyFill="1" applyBorder="1"/>
    <xf numFmtId="0" fontId="0" fillId="9" borderId="45" xfId="0" applyFill="1" applyBorder="1"/>
    <xf numFmtId="0" fontId="0" fillId="9" borderId="47" xfId="0" applyFill="1" applyBorder="1"/>
    <xf numFmtId="0" fontId="4" fillId="9" borderId="34" xfId="0" applyFont="1" applyFill="1" applyBorder="1" applyAlignment="1">
      <alignment horizontal="center" vertical="center"/>
    </xf>
    <xf numFmtId="0" fontId="0" fillId="9" borderId="36" xfId="0" applyFill="1" applyBorder="1"/>
    <xf numFmtId="0" fontId="0" fillId="9" borderId="37" xfId="0" applyFill="1" applyBorder="1"/>
    <xf numFmtId="0" fontId="0" fillId="9" borderId="46" xfId="0" applyFill="1" applyBorder="1"/>
    <xf numFmtId="0" fontId="4" fillId="9" borderId="40" xfId="0" applyFont="1" applyFill="1" applyBorder="1"/>
    <xf numFmtId="0" fontId="4" fillId="9" borderId="44" xfId="0" applyFont="1" applyFill="1" applyBorder="1"/>
    <xf numFmtId="10" fontId="0" fillId="7" borderId="5" xfId="0" applyNumberFormat="1" applyFill="1" applyBorder="1"/>
    <xf numFmtId="0" fontId="4" fillId="9" borderId="47" xfId="0" applyFont="1" applyFill="1" applyBorder="1" applyAlignment="1">
      <alignment horizontal="center"/>
    </xf>
    <xf numFmtId="0" fontId="0" fillId="6" borderId="50" xfId="0" applyFill="1" applyBorder="1"/>
    <xf numFmtId="0" fontId="0" fillId="6" borderId="54" xfId="0" applyFill="1" applyBorder="1"/>
    <xf numFmtId="0" fontId="4" fillId="6" borderId="55" xfId="0" applyFont="1" applyFill="1" applyBorder="1" applyAlignment="1">
      <alignment horizontal="center" vertical="center"/>
    </xf>
    <xf numFmtId="0" fontId="4" fillId="6" borderId="54" xfId="0" applyFont="1" applyFill="1" applyBorder="1"/>
    <xf numFmtId="0" fontId="4" fillId="6" borderId="55" xfId="0" applyFont="1" applyFill="1" applyBorder="1"/>
    <xf numFmtId="0" fontId="0" fillId="6" borderId="49" xfId="0" applyFill="1" applyBorder="1"/>
    <xf numFmtId="0" fontId="0" fillId="6" borderId="57" xfId="0" applyFill="1" applyBorder="1"/>
    <xf numFmtId="0" fontId="0" fillId="6" borderId="56" xfId="0" applyFill="1" applyBorder="1"/>
    <xf numFmtId="0" fontId="0" fillId="9" borderId="51" xfId="0" applyFill="1" applyBorder="1"/>
    <xf numFmtId="0" fontId="0" fillId="9" borderId="52" xfId="0" applyFill="1" applyBorder="1"/>
    <xf numFmtId="0" fontId="0" fillId="9" borderId="53" xfId="0" applyFill="1" applyBorder="1"/>
    <xf numFmtId="0" fontId="4" fillId="6" borderId="56" xfId="0" applyFont="1" applyFill="1" applyBorder="1" applyAlignment="1">
      <alignment horizontal="center"/>
    </xf>
    <xf numFmtId="0" fontId="1" fillId="0" borderId="0" xfId="0" applyFont="1"/>
    <xf numFmtId="6" fontId="0" fillId="5" borderId="3" xfId="0" applyNumberFormat="1" applyFill="1" applyBorder="1"/>
    <xf numFmtId="6" fontId="0" fillId="5" borderId="0" xfId="0" applyNumberFormat="1" applyFill="1" applyBorder="1"/>
    <xf numFmtId="6" fontId="0" fillId="5" borderId="0" xfId="0" applyNumberFormat="1" applyFill="1" applyBorder="1"/>
    <xf numFmtId="6" fontId="0" fillId="5" borderId="2" xfId="0" applyNumberFormat="1" applyFill="1" applyBorder="1"/>
    <xf numFmtId="10" fontId="0" fillId="5" borderId="24" xfId="0" applyNumberFormat="1" applyFill="1" applyBorder="1"/>
    <xf numFmtId="10" fontId="0" fillId="5" borderId="22" xfId="0" applyNumberFormat="1" applyFill="1" applyBorder="1"/>
    <xf numFmtId="10" fontId="0" fillId="5" borderId="4" xfId="0" applyNumberFormat="1" applyFill="1" applyBorder="1"/>
    <xf numFmtId="165" fontId="0" fillId="0" borderId="0" xfId="0" applyNumberFormat="1"/>
    <xf numFmtId="165" fontId="0" fillId="5" borderId="48" xfId="0" applyNumberFormat="1" applyFill="1" applyBorder="1"/>
    <xf numFmtId="10" fontId="0" fillId="5" borderId="35" xfId="0" applyNumberFormat="1" applyFill="1" applyBorder="1"/>
    <xf numFmtId="9" fontId="0" fillId="9" borderId="38" xfId="0" applyNumberFormat="1" applyFill="1" applyBorder="1"/>
    <xf numFmtId="9" fontId="0" fillId="3" borderId="1" xfId="0" applyNumberFormat="1" applyFill="1" applyBorder="1"/>
    <xf numFmtId="9" fontId="0" fillId="9" borderId="41" xfId="0" applyNumberFormat="1" applyFill="1" applyBorder="1"/>
    <xf numFmtId="9" fontId="0" fillId="3" borderId="5" xfId="0" applyNumberFormat="1" applyFill="1" applyBorder="1"/>
    <xf numFmtId="9" fontId="0" fillId="0" borderId="58" xfId="0" applyNumberFormat="1" applyBorder="1"/>
    <xf numFmtId="10" fontId="0" fillId="5" borderId="35" xfId="0" applyNumberFormat="1" applyFill="1" applyBorder="1"/>
    <xf numFmtId="6" fontId="0" fillId="5" borderId="0" xfId="0" applyNumberFormat="1" applyFill="1" applyBorder="1"/>
    <xf numFmtId="0" fontId="0" fillId="6" borderId="68" xfId="0" applyFill="1" applyBorder="1"/>
    <xf numFmtId="0" fontId="0" fillId="6" borderId="64" xfId="0" applyFill="1" applyBorder="1"/>
    <xf numFmtId="0" fontId="0" fillId="6" borderId="65" xfId="0" applyFill="1" applyBorder="1"/>
    <xf numFmtId="0" fontId="0" fillId="6" borderId="66" xfId="0" applyFill="1" applyBorder="1"/>
    <xf numFmtId="0" fontId="4" fillId="6" borderId="49" xfId="0" applyFont="1" applyFill="1" applyBorder="1" applyAlignment="1">
      <alignment horizontal="center"/>
    </xf>
    <xf numFmtId="0" fontId="0" fillId="6" borderId="61" xfId="0" applyFill="1" applyBorder="1"/>
    <xf numFmtId="0" fontId="0" fillId="6" borderId="59" xfId="0" applyFill="1" applyBorder="1"/>
    <xf numFmtId="0" fontId="0" fillId="6" borderId="60" xfId="0" applyFill="1" applyBorder="1"/>
    <xf numFmtId="165" fontId="0" fillId="5" borderId="62" xfId="0" applyNumberFormat="1" applyFill="1" applyBorder="1"/>
    <xf numFmtId="165" fontId="0" fillId="5" borderId="63" xfId="0" applyNumberFormat="1" applyFill="1" applyBorder="1"/>
    <xf numFmtId="165" fontId="0" fillId="5" borderId="48" xfId="0" applyNumberFormat="1" applyFill="1" applyBorder="1"/>
    <xf numFmtId="165" fontId="0" fillId="5" borderId="43" xfId="0" applyNumberFormat="1" applyFill="1" applyBorder="1"/>
    <xf numFmtId="165" fontId="0" fillId="5" borderId="39" xfId="0" applyNumberFormat="1" applyFill="1" applyBorder="1"/>
    <xf numFmtId="165" fontId="0" fillId="5" borderId="25" xfId="0" applyNumberFormat="1" applyFill="1" applyBorder="1"/>
    <xf numFmtId="165" fontId="0" fillId="5" borderId="42" xfId="0" applyNumberFormat="1" applyFill="1" applyBorder="1"/>
    <xf numFmtId="10" fontId="0" fillId="0" borderId="0" xfId="0" applyNumberFormat="1"/>
    <xf numFmtId="10" fontId="0" fillId="5" borderId="63" xfId="0" applyNumberFormat="1" applyFill="1" applyBorder="1"/>
    <xf numFmtId="9" fontId="0" fillId="6" borderId="38" xfId="0" applyNumberFormat="1" applyFill="1" applyBorder="1"/>
    <xf numFmtId="9" fontId="0" fillId="6" borderId="41" xfId="0" applyNumberFormat="1" applyFill="1" applyBorder="1"/>
    <xf numFmtId="9" fontId="0" fillId="10" borderId="1" xfId="0" applyNumberFormat="1" applyFill="1" applyBorder="1"/>
    <xf numFmtId="9" fontId="0" fillId="10" borderId="5" xfId="0" applyNumberFormat="1" applyFill="1" applyBorder="1"/>
    <xf numFmtId="165" fontId="0" fillId="6" borderId="50" xfId="0" applyNumberFormat="1" applyFill="1" applyBorder="1"/>
    <xf numFmtId="10" fontId="0" fillId="5" borderId="63" xfId="0" applyNumberFormat="1" applyFill="1" applyBorder="1"/>
    <xf numFmtId="10" fontId="0" fillId="5" borderId="35" xfId="0" applyNumberFormat="1" applyFill="1" applyBorder="1"/>
    <xf numFmtId="10" fontId="0" fillId="5" borderId="0" xfId="0" applyNumberFormat="1" applyFill="1"/>
    <xf numFmtId="165" fontId="0" fillId="9" borderId="36" xfId="0" applyNumberFormat="1" applyFill="1" applyBorder="1"/>
    <xf numFmtId="9" fontId="0" fillId="0" borderId="0" xfId="0" applyNumberFormat="1"/>
    <xf numFmtId="10" fontId="0" fillId="7" borderId="5" xfId="0" applyNumberFormat="1" applyFill="1" applyBorder="1"/>
    <xf numFmtId="165" fontId="0" fillId="0" borderId="0" xfId="0" applyNumberFormat="1"/>
    <xf numFmtId="10" fontId="0" fillId="5" borderId="24" xfId="0" applyNumberFormat="1" applyFill="1" applyBorder="1"/>
    <xf numFmtId="0" fontId="0" fillId="9" borderId="0" xfId="0" applyFill="1"/>
    <xf numFmtId="0" fontId="0" fillId="9" borderId="40" xfId="0" applyFill="1" applyBorder="1"/>
    <xf numFmtId="0" fontId="0" fillId="6" borderId="0" xfId="0" applyFill="1"/>
    <xf numFmtId="0" fontId="0" fillId="6" borderId="67" xfId="0" applyFill="1" applyBorder="1"/>
    <xf numFmtId="0" fontId="22" fillId="0" borderId="0" xfId="0" applyFont="1"/>
    <xf numFmtId="165" fontId="22" fillId="0" borderId="0" xfId="0" applyNumberFormat="1" applyFont="1"/>
    <xf numFmtId="3" fontId="22" fillId="0" borderId="0" xfId="0" applyNumberFormat="1" applyFont="1"/>
    <xf numFmtId="6" fontId="23" fillId="0" borderId="0" xfId="0" applyNumberFormat="1" applyFont="1"/>
    <xf numFmtId="0" fontId="16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/>
    <xf numFmtId="0" fontId="0" fillId="0" borderId="17" xfId="0" applyBorder="1" applyAlignment="1"/>
    <xf numFmtId="0" fontId="5" fillId="0" borderId="3" xfId="0" applyFont="1" applyBorder="1" applyAlignment="1"/>
    <xf numFmtId="0" fontId="0" fillId="0" borderId="3" xfId="0" applyBorder="1" applyAlignment="1"/>
    <xf numFmtId="0" fontId="5" fillId="2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/>
    </xf>
    <xf numFmtId="0" fontId="0" fillId="9" borderId="31" xfId="0" applyFill="1" applyBorder="1" applyAlignment="1"/>
    <xf numFmtId="0" fontId="4" fillId="6" borderId="55" xfId="0" applyFont="1" applyFill="1" applyBorder="1" applyAlignment="1">
      <alignment horizontal="center"/>
    </xf>
    <xf numFmtId="0" fontId="0" fillId="6" borderId="55" xfId="0" applyFill="1" applyBorder="1" applyAlignme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Operating Expense Ratio</c:v>
          </c:tx>
          <c:invertIfNegative val="0"/>
          <c:cat>
            <c:strRef>
              <c:f>'10 Yr Ratios'!$D$34:$M$34</c:f>
              <c:strCache>
                <c:ptCount val="10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5</c:v>
                </c:pt>
                <c:pt idx="5">
                  <c:v>YR 6</c:v>
                </c:pt>
                <c:pt idx="6">
                  <c:v>YR 7</c:v>
                </c:pt>
                <c:pt idx="7">
                  <c:v>YR 8</c:v>
                </c:pt>
                <c:pt idx="8">
                  <c:v>YR 9</c:v>
                </c:pt>
                <c:pt idx="9">
                  <c:v>YR 10</c:v>
                </c:pt>
              </c:strCache>
            </c:strRef>
          </c:cat>
          <c:val>
            <c:numRef>
              <c:f>'10 Yr Ratios'!$D$35:$M$35</c:f>
              <c:numCache>
                <c:formatCode>0.00%</c:formatCode>
                <c:ptCount val="10"/>
                <c:pt idx="0">
                  <c:v>0.506172839506173</c:v>
                </c:pt>
                <c:pt idx="1">
                  <c:v>0.501397624039133</c:v>
                </c:pt>
                <c:pt idx="2">
                  <c:v>0.485870339127339</c:v>
                </c:pt>
                <c:pt idx="3">
                  <c:v>0.481286656682742</c:v>
                </c:pt>
                <c:pt idx="4">
                  <c:v>0.476746216525357</c:v>
                </c:pt>
                <c:pt idx="5">
                  <c:v>0.47224861070908</c:v>
                </c:pt>
                <c:pt idx="6">
                  <c:v>0.467793435136353</c:v>
                </c:pt>
                <c:pt idx="7">
                  <c:v>0.463380289521859</c:v>
                </c:pt>
                <c:pt idx="8">
                  <c:v>0.459008777356559</c:v>
                </c:pt>
                <c:pt idx="9">
                  <c:v>0.454678505872063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1673736"/>
        <c:axId val="673495304"/>
        <c:axId val="0"/>
      </c:bar3DChart>
      <c:catAx>
        <c:axId val="501673736"/>
        <c:scaling>
          <c:orientation val="minMax"/>
        </c:scaling>
        <c:delete val="0"/>
        <c:axPos val="b"/>
        <c:majorTickMark val="out"/>
        <c:minorTickMark val="none"/>
        <c:tickLblPos val="nextTo"/>
        <c:crossAx val="673495304"/>
        <c:crosses val="autoZero"/>
        <c:auto val="1"/>
        <c:lblAlgn val="ctr"/>
        <c:lblOffset val="100"/>
        <c:noMultiLvlLbl val="0"/>
      </c:catAx>
      <c:valAx>
        <c:axId val="6734953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1673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100000"/>
            <a:shade val="100000"/>
            <a:satMod val="130000"/>
          </a:schemeClr>
        </a:gs>
        <a:gs pos="100000">
          <a:schemeClr val="accent3">
            <a:tint val="50000"/>
            <a:shade val="100000"/>
            <a:satMod val="350000"/>
          </a:schemeClr>
        </a:gs>
      </a:gsLst>
      <a:lin ang="16200000" scaled="0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36</xdr:row>
      <xdr:rowOff>12700</xdr:rowOff>
    </xdr:from>
    <xdr:to>
      <xdr:col>12</xdr:col>
      <xdr:colOff>914400</xdr:colOff>
      <xdr:row>64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zoomScale="125" workbookViewId="0">
      <selection activeCell="E17" sqref="E17"/>
    </sheetView>
  </sheetViews>
  <sheetFormatPr baseColWidth="10" defaultColWidth="11" defaultRowHeight="13" x14ac:dyDescent="0"/>
  <sheetData>
    <row r="2" spans="2:13">
      <c r="B2" s="245" t="s">
        <v>211</v>
      </c>
      <c r="C2" s="246"/>
      <c r="D2" s="246"/>
      <c r="E2" s="246"/>
      <c r="F2" s="246"/>
      <c r="G2" s="246"/>
      <c r="H2" s="246"/>
      <c r="I2" s="246"/>
      <c r="J2" s="246"/>
      <c r="K2" s="246"/>
      <c r="L2" s="247"/>
    </row>
    <row r="3" spans="2:13">
      <c r="B3" s="62" t="s">
        <v>205</v>
      </c>
      <c r="C3" s="62" t="s">
        <v>206</v>
      </c>
      <c r="D3" s="62" t="s">
        <v>207</v>
      </c>
      <c r="E3" s="62" t="s">
        <v>208</v>
      </c>
      <c r="F3" s="62" t="s">
        <v>209</v>
      </c>
      <c r="G3" s="62" t="s">
        <v>210</v>
      </c>
      <c r="H3" s="62" t="s">
        <v>212</v>
      </c>
      <c r="I3" s="62" t="s">
        <v>213</v>
      </c>
      <c r="J3" s="62" t="s">
        <v>214</v>
      </c>
      <c r="K3" s="62" t="s">
        <v>215</v>
      </c>
      <c r="L3" s="62" t="s">
        <v>216</v>
      </c>
    </row>
    <row r="4" spans="2:13">
      <c r="B4" s="80">
        <v>0.1</v>
      </c>
      <c r="C4" s="80">
        <v>0.1</v>
      </c>
      <c r="D4" s="80">
        <v>0.08</v>
      </c>
      <c r="E4" s="80">
        <v>0.08</v>
      </c>
      <c r="F4" s="80">
        <v>0.08</v>
      </c>
      <c r="G4" s="80">
        <v>0.08</v>
      </c>
      <c r="H4" s="80">
        <v>0.08</v>
      </c>
      <c r="I4" s="80">
        <v>0.08</v>
      </c>
      <c r="J4" s="80">
        <v>0.08</v>
      </c>
      <c r="K4" s="80">
        <v>0.08</v>
      </c>
      <c r="L4" s="80">
        <v>0.08</v>
      </c>
      <c r="M4" s="14" t="s">
        <v>217</v>
      </c>
    </row>
    <row r="6" spans="2:13">
      <c r="B6" s="245" t="s">
        <v>48</v>
      </c>
      <c r="C6" s="246"/>
      <c r="D6" s="246"/>
      <c r="E6" s="246"/>
      <c r="F6" s="246"/>
      <c r="G6" s="246"/>
      <c r="H6" s="246"/>
      <c r="I6" s="246"/>
      <c r="J6" s="246"/>
      <c r="K6" s="246"/>
      <c r="L6" s="247"/>
    </row>
    <row r="7" spans="2:13">
      <c r="B7" s="62" t="s">
        <v>205</v>
      </c>
      <c r="C7" s="62" t="s">
        <v>206</v>
      </c>
      <c r="D7" s="62" t="s">
        <v>207</v>
      </c>
      <c r="E7" s="62" t="s">
        <v>208</v>
      </c>
      <c r="F7" s="62" t="s">
        <v>209</v>
      </c>
      <c r="G7" s="62" t="s">
        <v>210</v>
      </c>
      <c r="H7" s="62" t="s">
        <v>212</v>
      </c>
      <c r="I7" s="62" t="s">
        <v>213</v>
      </c>
      <c r="J7" s="62" t="s">
        <v>214</v>
      </c>
      <c r="K7" s="62" t="s">
        <v>215</v>
      </c>
      <c r="L7" s="62" t="s">
        <v>216</v>
      </c>
    </row>
    <row r="8" spans="2:13">
      <c r="B8" s="80" t="s">
        <v>47</v>
      </c>
      <c r="C8" s="80">
        <v>0.06</v>
      </c>
      <c r="D8" s="80">
        <v>0.06</v>
      </c>
      <c r="E8" s="80">
        <v>5.5E-2</v>
      </c>
      <c r="F8" s="80">
        <v>5.5E-2</v>
      </c>
      <c r="G8" s="80">
        <v>5.5E-2</v>
      </c>
      <c r="H8" s="80">
        <v>5.5E-2</v>
      </c>
      <c r="I8" s="80">
        <v>5.5E-2</v>
      </c>
      <c r="J8" s="80">
        <v>5.5E-2</v>
      </c>
      <c r="K8" s="80">
        <v>5.5E-2</v>
      </c>
      <c r="L8" s="80">
        <v>5.5E-2</v>
      </c>
    </row>
    <row r="10" spans="2:13">
      <c r="B10" s="245" t="s">
        <v>49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7"/>
    </row>
    <row r="11" spans="2:13">
      <c r="B11" s="62" t="s">
        <v>205</v>
      </c>
      <c r="C11" s="62" t="s">
        <v>206</v>
      </c>
      <c r="D11" s="62" t="s">
        <v>207</v>
      </c>
      <c r="E11" s="62" t="s">
        <v>208</v>
      </c>
      <c r="F11" s="62" t="s">
        <v>209</v>
      </c>
      <c r="G11" s="62" t="s">
        <v>210</v>
      </c>
      <c r="H11" s="62" t="s">
        <v>212</v>
      </c>
      <c r="I11" s="62" t="s">
        <v>213</v>
      </c>
      <c r="J11" s="62" t="s">
        <v>214</v>
      </c>
      <c r="K11" s="62" t="s">
        <v>215</v>
      </c>
      <c r="L11" s="62" t="s">
        <v>216</v>
      </c>
    </row>
    <row r="12" spans="2:13">
      <c r="B12" s="80" t="s">
        <v>47</v>
      </c>
      <c r="C12" s="80">
        <v>0.1</v>
      </c>
      <c r="D12" s="80">
        <v>0.08</v>
      </c>
      <c r="E12" s="80">
        <v>0.08</v>
      </c>
      <c r="F12" s="80">
        <v>0.08</v>
      </c>
      <c r="G12" s="80">
        <v>0.08</v>
      </c>
      <c r="H12" s="80">
        <v>0.08</v>
      </c>
      <c r="I12" s="80">
        <v>0.08</v>
      </c>
      <c r="J12" s="80">
        <v>0.08</v>
      </c>
      <c r="K12" s="80">
        <v>0.08</v>
      </c>
      <c r="L12" s="80">
        <v>0.08</v>
      </c>
    </row>
  </sheetData>
  <mergeCells count="3">
    <mergeCell ref="B2:L2"/>
    <mergeCell ref="B6:L6"/>
    <mergeCell ref="B10:L10"/>
  </mergeCells>
  <phoneticPr fontId="14" type="noConversion"/>
  <hyperlinks>
    <hyperlink ref="M4" location="APOD!C17" display="Done"/>
  </hyperlinks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0" workbookViewId="0">
      <selection activeCell="C33" sqref="C33"/>
    </sheetView>
  </sheetViews>
  <sheetFormatPr baseColWidth="10" defaultColWidth="11" defaultRowHeight="13" x14ac:dyDescent="0"/>
  <cols>
    <col min="1" max="1" width="20.140625" bestFit="1" customWidth="1"/>
    <col min="2" max="2" width="11" bestFit="1" customWidth="1"/>
    <col min="4" max="4" width="14" bestFit="1" customWidth="1"/>
  </cols>
  <sheetData>
    <row r="1" spans="1:12" ht="14" thickBot="1"/>
    <row r="2" spans="1:12" ht="17" thickBot="1">
      <c r="A2" s="259" t="s">
        <v>110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6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145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68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97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97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97">
        <f>B8</f>
        <v>840000</v>
      </c>
    </row>
    <row r="13" spans="1:12">
      <c r="A13" t="s">
        <v>165</v>
      </c>
      <c r="B13" s="97">
        <f>APOD!G11</f>
        <v>7339.0519512498258</v>
      </c>
      <c r="D13" t="s">
        <v>53</v>
      </c>
      <c r="E13" s="97">
        <f>E11-E12</f>
        <v>360000</v>
      </c>
    </row>
    <row r="14" spans="1:12">
      <c r="A14" t="s">
        <v>70</v>
      </c>
      <c r="B14" s="97">
        <f>APOD!G12</f>
        <v>88068.623414997914</v>
      </c>
    </row>
    <row r="16" spans="1:12">
      <c r="A16" s="27" t="s">
        <v>112</v>
      </c>
    </row>
    <row r="17" spans="1:11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</row>
    <row r="18" spans="1:11">
      <c r="A18" t="s">
        <v>259</v>
      </c>
      <c r="B18" s="130">
        <f>'10 Yr BTCF'!B25</f>
        <v>31931.376585002086</v>
      </c>
      <c r="C18" s="130">
        <f>'10 Yr BTCF'!C25</f>
        <v>40361.376585002086</v>
      </c>
      <c r="D18" s="130">
        <f>'10 Yr BTCF'!D25</f>
        <v>55426.116585002077</v>
      </c>
      <c r="E18" s="130">
        <f>'10 Yr BTCF'!E25</f>
        <v>65391.875985002116</v>
      </c>
      <c r="F18" s="130">
        <f>'10 Yr BTCF'!F25</f>
        <v>76023.384699002083</v>
      </c>
    </row>
    <row r="19" spans="1:11">
      <c r="A19" s="77" t="s">
        <v>260</v>
      </c>
      <c r="B19" s="116">
        <f>C19/12*11.5</f>
        <v>22934.472934472935</v>
      </c>
      <c r="C19" s="116">
        <f>APOD!G4*APOD!D12/APOD!G29</f>
        <v>23931.623931623933</v>
      </c>
      <c r="D19" s="116">
        <f t="shared" ref="D19:E19" si="0">C19</f>
        <v>23931.623931623933</v>
      </c>
      <c r="E19" s="116">
        <f t="shared" si="0"/>
        <v>23931.623931623933</v>
      </c>
      <c r="F19" s="116">
        <f>B19</f>
        <v>22934.472934472935</v>
      </c>
    </row>
    <row r="20" spans="1:11" ht="14" thickBot="1">
      <c r="A20" s="26" t="s">
        <v>261</v>
      </c>
      <c r="B20" s="121">
        <f>'10 Yr BTCF'!B34</f>
        <v>8638.3252380470512</v>
      </c>
      <c r="C20" s="121">
        <f>'10 Yr BTCF'!C34</f>
        <v>9495.6581484262133</v>
      </c>
      <c r="D20" s="121">
        <f>'10 Yr BTCF'!D34</f>
        <v>10438.079278916703</v>
      </c>
      <c r="E20" s="121">
        <f>'10 Yr BTCF'!E34</f>
        <v>11474.033429795178</v>
      </c>
      <c r="F20" s="121">
        <f>'10 Yr BTCF'!F34</f>
        <v>12612.803527367185</v>
      </c>
    </row>
    <row r="21" spans="1:11">
      <c r="A21" s="75" t="s">
        <v>262</v>
      </c>
      <c r="B21" s="130">
        <f>B18-B19+B20</f>
        <v>17635.228888576203</v>
      </c>
      <c r="C21" s="130">
        <f t="shared" ref="C21:F21" si="1">C18-C19+C20</f>
        <v>25925.410801804366</v>
      </c>
      <c r="D21" s="130">
        <f t="shared" si="1"/>
        <v>41932.571932294843</v>
      </c>
      <c r="E21" s="130">
        <f t="shared" si="1"/>
        <v>52934.285483173357</v>
      </c>
      <c r="F21" s="130">
        <f t="shared" si="1"/>
        <v>65701.71529189634</v>
      </c>
    </row>
    <row r="22" spans="1:11" ht="14" thickBot="1">
      <c r="A22" s="76" t="s">
        <v>263</v>
      </c>
      <c r="B22" s="101">
        <f>APOD!$G$30</f>
        <v>0.35</v>
      </c>
      <c r="C22" s="101">
        <f>APOD!$G$30</f>
        <v>0.35</v>
      </c>
      <c r="D22" s="101">
        <f>APOD!$G$30</f>
        <v>0.35</v>
      </c>
      <c r="E22" s="101">
        <f>APOD!$G$30</f>
        <v>0.35</v>
      </c>
      <c r="F22" s="101">
        <f>APOD!$G$30</f>
        <v>0.35</v>
      </c>
    </row>
    <row r="23" spans="1:11">
      <c r="A23" s="75" t="s">
        <v>264</v>
      </c>
      <c r="B23" s="130">
        <f>B21*B22</f>
        <v>6172.330111001671</v>
      </c>
      <c r="C23" s="130">
        <f t="shared" ref="C23:F23" si="2">C21*C22</f>
        <v>9073.893780631528</v>
      </c>
      <c r="D23" s="130">
        <f t="shared" si="2"/>
        <v>14676.400176303194</v>
      </c>
      <c r="E23" s="130">
        <f t="shared" si="2"/>
        <v>18526.999919110673</v>
      </c>
      <c r="F23" s="130">
        <f t="shared" si="2"/>
        <v>22995.600352163718</v>
      </c>
    </row>
    <row r="25" spans="1:11">
      <c r="A25" s="27" t="s">
        <v>266</v>
      </c>
      <c r="B25" s="130">
        <f>B18</f>
        <v>31931.376585002086</v>
      </c>
      <c r="C25" s="130">
        <f t="shared" ref="C25:F25" si="3">C18</f>
        <v>40361.376585002086</v>
      </c>
      <c r="D25" s="130">
        <f t="shared" si="3"/>
        <v>55426.116585002077</v>
      </c>
      <c r="E25" s="130">
        <f t="shared" si="3"/>
        <v>65391.875985002116</v>
      </c>
      <c r="F25" s="130">
        <f t="shared" si="3"/>
        <v>76023.384699002083</v>
      </c>
    </row>
    <row r="26" spans="1:11" ht="14" thickBot="1">
      <c r="A26" s="26" t="s">
        <v>265</v>
      </c>
      <c r="B26" s="121">
        <f>B23</f>
        <v>6172.330111001671</v>
      </c>
      <c r="C26" s="121">
        <f t="shared" ref="C26:F26" si="4">C23</f>
        <v>9073.893780631528</v>
      </c>
      <c r="D26" s="121">
        <f t="shared" si="4"/>
        <v>14676.400176303194</v>
      </c>
      <c r="E26" s="121">
        <f t="shared" si="4"/>
        <v>18526.999919110673</v>
      </c>
      <c r="F26" s="121">
        <f t="shared" si="4"/>
        <v>22995.600352163718</v>
      </c>
    </row>
    <row r="27" spans="1:11">
      <c r="A27" s="82" t="s">
        <v>96</v>
      </c>
      <c r="B27" s="130">
        <f>B25-B26</f>
        <v>25759.046474000417</v>
      </c>
      <c r="C27" s="130">
        <f t="shared" ref="C27:F27" si="5">C25-C26</f>
        <v>31287.482804370557</v>
      </c>
      <c r="D27" s="130">
        <f t="shared" si="5"/>
        <v>40749.716408698885</v>
      </c>
      <c r="E27" s="130">
        <f t="shared" si="5"/>
        <v>46864.87606589144</v>
      </c>
      <c r="F27" s="130">
        <f t="shared" si="5"/>
        <v>53027.784346838365</v>
      </c>
    </row>
    <row r="30" spans="1:11">
      <c r="A30" s="83" t="s">
        <v>170</v>
      </c>
      <c r="B30" s="84"/>
      <c r="C30" s="120">
        <f>B6</f>
        <v>1200000</v>
      </c>
      <c r="E30" s="279" t="s">
        <v>253</v>
      </c>
      <c r="F30" s="280"/>
      <c r="G30" s="120">
        <f>'5 Yr BTCF'!F28</f>
        <v>1594841.8298940004</v>
      </c>
      <c r="I30" s="83" t="s">
        <v>77</v>
      </c>
      <c r="J30" s="84"/>
      <c r="K30" s="84"/>
    </row>
    <row r="31" spans="1:11">
      <c r="A31" t="s">
        <v>171</v>
      </c>
      <c r="C31" s="79">
        <f>APOD!G33</f>
        <v>0</v>
      </c>
      <c r="E31" s="277" t="s">
        <v>254</v>
      </c>
      <c r="F31" s="277"/>
      <c r="G31" s="130">
        <f>'5 Yr BTCF'!F29</f>
        <v>127587.34639152004</v>
      </c>
      <c r="I31" t="s">
        <v>78</v>
      </c>
      <c r="K31" s="130">
        <f>'5 Yr BTCF'!F28</f>
        <v>1594841.8298940004</v>
      </c>
    </row>
    <row r="32" spans="1:11" ht="14" thickBot="1">
      <c r="A32" t="s">
        <v>172</v>
      </c>
      <c r="C32" s="121">
        <f>SUM(B19:F19)</f>
        <v>117663.81766381767</v>
      </c>
      <c r="E32" s="277" t="s">
        <v>255</v>
      </c>
      <c r="F32" s="277"/>
      <c r="G32" s="121">
        <f>C33</f>
        <v>1082336.1823361823</v>
      </c>
      <c r="I32" t="s">
        <v>237</v>
      </c>
      <c r="K32" s="130">
        <f>'5 Yr BTCF'!F29</f>
        <v>127587.34639152004</v>
      </c>
    </row>
    <row r="33" spans="1:11">
      <c r="A33" s="85" t="s">
        <v>252</v>
      </c>
      <c r="B33" s="86"/>
      <c r="C33" s="129">
        <f>C30+C31-C32</f>
        <v>1082336.1823361823</v>
      </c>
      <c r="E33" s="277" t="s">
        <v>256</v>
      </c>
      <c r="F33" s="277"/>
      <c r="G33" s="130">
        <f>G30-G31-G32</f>
        <v>384918.3011662981</v>
      </c>
      <c r="I33" t="s">
        <v>81</v>
      </c>
      <c r="K33" s="130">
        <f>G38</f>
        <v>69504.126941326482</v>
      </c>
    </row>
    <row r="34" spans="1:11" ht="14" thickBot="1">
      <c r="E34" s="277" t="s">
        <v>257</v>
      </c>
      <c r="F34" s="277"/>
      <c r="G34" s="130">
        <f>C32</f>
        <v>117663.81766381767</v>
      </c>
      <c r="I34" t="s">
        <v>238</v>
      </c>
      <c r="K34" s="130">
        <f>'5 Yr BTCF'!F30</f>
        <v>787341.10037744767</v>
      </c>
    </row>
    <row r="35" spans="1:11">
      <c r="E35" s="126" t="s">
        <v>90</v>
      </c>
      <c r="F35" s="126"/>
      <c r="G35" s="130">
        <f>G33-G34</f>
        <v>267254.48350248043</v>
      </c>
      <c r="I35" s="82" t="s">
        <v>239</v>
      </c>
      <c r="K35" s="113">
        <f>K31-K32-K33-K34</f>
        <v>610409.25618370622</v>
      </c>
    </row>
    <row r="36" spans="1:11">
      <c r="E36" s="277" t="s">
        <v>258</v>
      </c>
      <c r="F36" s="277"/>
      <c r="G36" s="110">
        <f>APOD!G32</f>
        <v>0.25</v>
      </c>
    </row>
    <row r="37" spans="1:11">
      <c r="E37" s="277" t="s">
        <v>75</v>
      </c>
      <c r="F37" s="277"/>
      <c r="G37" s="110">
        <f>APOD!G31</f>
        <v>0.15</v>
      </c>
    </row>
    <row r="38" spans="1:11">
      <c r="E38" s="278" t="s">
        <v>76</v>
      </c>
      <c r="F38" s="278"/>
      <c r="G38" s="129">
        <f>(G34*G36)+(G35*G37)</f>
        <v>69504.126941326482</v>
      </c>
    </row>
    <row r="40" spans="1:11">
      <c r="A40" s="82" t="s">
        <v>240</v>
      </c>
    </row>
    <row r="41" spans="1:11">
      <c r="A41" s="99" t="s">
        <v>241</v>
      </c>
      <c r="B41" s="99" t="s">
        <v>120</v>
      </c>
      <c r="C41" s="99" t="s">
        <v>121</v>
      </c>
      <c r="D41" s="99" t="s">
        <v>122</v>
      </c>
      <c r="E41" s="99" t="s">
        <v>97</v>
      </c>
      <c r="F41" s="99" t="s">
        <v>98</v>
      </c>
    </row>
    <row r="42" spans="1:11">
      <c r="A42" s="130">
        <f>-E13</f>
        <v>-360000</v>
      </c>
      <c r="B42" s="130">
        <f>B27</f>
        <v>25759.046474000417</v>
      </c>
      <c r="C42" s="130">
        <f t="shared" ref="C42:E42" si="6">C27</f>
        <v>31287.482804370557</v>
      </c>
      <c r="D42" s="130">
        <f t="shared" si="6"/>
        <v>40749.716408698885</v>
      </c>
      <c r="E42" s="130">
        <f t="shared" si="6"/>
        <v>46864.87606589144</v>
      </c>
      <c r="F42" s="130">
        <f>F27+K35</f>
        <v>663437.04053054459</v>
      </c>
    </row>
    <row r="43" spans="1:11">
      <c r="A43" t="s">
        <v>242</v>
      </c>
      <c r="B43" s="128">
        <f>IRR(A42:F42)</f>
        <v>0.19694115035641402</v>
      </c>
    </row>
    <row r="44" spans="1:11">
      <c r="A44" t="s">
        <v>243</v>
      </c>
      <c r="B44" s="115">
        <f>NPV(H11,B42:F42)</f>
        <v>355996.50064805988</v>
      </c>
    </row>
    <row r="45" spans="1:11">
      <c r="A45" t="s">
        <v>244</v>
      </c>
      <c r="B45" s="115">
        <f>B44+A42</f>
        <v>-4003.4993519401178</v>
      </c>
    </row>
  </sheetData>
  <mergeCells count="14">
    <mergeCell ref="E37:F37"/>
    <mergeCell ref="E38:F38"/>
    <mergeCell ref="E30:F30"/>
    <mergeCell ref="E31:F31"/>
    <mergeCell ref="E32:F32"/>
    <mergeCell ref="E33:F33"/>
    <mergeCell ref="E34:F34"/>
    <mergeCell ref="E36:F36"/>
    <mergeCell ref="A2:L2"/>
    <mergeCell ref="A5:B5"/>
    <mergeCell ref="D5:E5"/>
    <mergeCell ref="G5:H5"/>
    <mergeCell ref="D10:E10"/>
    <mergeCell ref="G10:H1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5" workbookViewId="0">
      <selection activeCell="C33" sqref="C33"/>
    </sheetView>
  </sheetViews>
  <sheetFormatPr baseColWidth="10" defaultColWidth="11" defaultRowHeight="13" x14ac:dyDescent="0"/>
  <cols>
    <col min="1" max="1" width="20.140625" bestFit="1" customWidth="1"/>
    <col min="4" max="4" width="14" bestFit="1" customWidth="1"/>
  </cols>
  <sheetData>
    <row r="1" spans="1:12" ht="14" thickBot="1"/>
    <row r="2" spans="1:12" ht="17" thickBot="1">
      <c r="A2" s="259" t="s">
        <v>267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6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145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68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97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97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97">
        <f>B8</f>
        <v>840000</v>
      </c>
    </row>
    <row r="13" spans="1:12">
      <c r="A13" t="s">
        <v>165</v>
      </c>
      <c r="B13" s="97">
        <f>APOD!G11</f>
        <v>7339.0519512498258</v>
      </c>
      <c r="D13" t="s">
        <v>53</v>
      </c>
      <c r="E13" s="97">
        <f>E11-E12</f>
        <v>360000</v>
      </c>
    </row>
    <row r="14" spans="1:12">
      <c r="A14" t="s">
        <v>70</v>
      </c>
      <c r="B14" s="97">
        <f>APOD!G12</f>
        <v>88068.623414997914</v>
      </c>
    </row>
    <row r="16" spans="1:12">
      <c r="A16" s="27" t="s">
        <v>112</v>
      </c>
    </row>
    <row r="17" spans="1:11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  <c r="G17" s="70" t="s">
        <v>210</v>
      </c>
    </row>
    <row r="18" spans="1:11">
      <c r="A18" t="s">
        <v>245</v>
      </c>
      <c r="B18" s="130">
        <f>'10 Yr BTCF'!B23</f>
        <v>120000</v>
      </c>
      <c r="C18" s="130">
        <f>'10 Yr BTCF'!C23</f>
        <v>128430</v>
      </c>
      <c r="D18" s="130">
        <f>'10 Yr BTCF'!D23</f>
        <v>143494.74</v>
      </c>
      <c r="E18" s="130">
        <f>'10 Yr BTCF'!E23</f>
        <v>153460.49940000003</v>
      </c>
      <c r="F18" s="130">
        <f>'10 Yr BTCF'!F23</f>
        <v>164092.008114</v>
      </c>
      <c r="G18" s="130">
        <f>'10 Yr BTCF'!G23</f>
        <v>175432.60128834005</v>
      </c>
    </row>
    <row r="19" spans="1:11" ht="14" thickBot="1">
      <c r="A19" s="77" t="s">
        <v>260</v>
      </c>
      <c r="B19" s="116">
        <f>'10 Yr ATCF'!B19</f>
        <v>22934.472934472935</v>
      </c>
      <c r="C19" s="116">
        <f>'10 Yr ATCF'!C19</f>
        <v>23931.623931623933</v>
      </c>
      <c r="D19" s="116">
        <f>'10 Yr ATCF'!D19</f>
        <v>23931.623931623933</v>
      </c>
      <c r="E19" s="116">
        <f>'10 Yr ATCF'!E19</f>
        <v>23931.623931623933</v>
      </c>
      <c r="F19" s="116">
        <f>B19</f>
        <v>22934.472934472935</v>
      </c>
    </row>
    <row r="20" spans="1:11">
      <c r="A20" s="89" t="s">
        <v>262</v>
      </c>
      <c r="B20" s="113">
        <f>B18-B19</f>
        <v>97065.527065527072</v>
      </c>
      <c r="C20" s="113">
        <f t="shared" ref="C20:F20" si="0">C18-C19</f>
        <v>104498.37606837606</v>
      </c>
      <c r="D20" s="113">
        <f t="shared" si="0"/>
        <v>119563.11606837605</v>
      </c>
      <c r="E20" s="113">
        <f t="shared" si="0"/>
        <v>129528.87546837609</v>
      </c>
      <c r="F20" s="113">
        <f t="shared" si="0"/>
        <v>141157.53517952707</v>
      </c>
    </row>
    <row r="21" spans="1:11" ht="14" thickBot="1">
      <c r="A21" s="76" t="s">
        <v>263</v>
      </c>
      <c r="B21" s="117">
        <f>APOD!$G$30</f>
        <v>0.35</v>
      </c>
      <c r="C21" s="117">
        <f>APOD!$G$30</f>
        <v>0.35</v>
      </c>
      <c r="D21" s="117">
        <f>APOD!$G$30</f>
        <v>0.35</v>
      </c>
      <c r="E21" s="117">
        <f>APOD!$G$30</f>
        <v>0.35</v>
      </c>
      <c r="F21" s="117">
        <f>APOD!$G$30</f>
        <v>0.35</v>
      </c>
    </row>
    <row r="22" spans="1:11">
      <c r="A22" s="75" t="s">
        <v>264</v>
      </c>
      <c r="B22" s="130">
        <f>B20*B21</f>
        <v>33972.934472934474</v>
      </c>
      <c r="C22" s="130">
        <f t="shared" ref="C22:F22" si="1">C20*C21</f>
        <v>36574.431623931618</v>
      </c>
      <c r="D22" s="130">
        <f t="shared" si="1"/>
        <v>41847.090623931617</v>
      </c>
      <c r="E22" s="130">
        <f t="shared" si="1"/>
        <v>45335.10641393163</v>
      </c>
      <c r="F22" s="130">
        <f t="shared" si="1"/>
        <v>49405.137312834471</v>
      </c>
    </row>
    <row r="24" spans="1:11">
      <c r="A24" s="27" t="s">
        <v>270</v>
      </c>
      <c r="B24" s="130">
        <f>B18</f>
        <v>120000</v>
      </c>
      <c r="C24" s="130">
        <f t="shared" ref="C24:F24" si="2">C18</f>
        <v>128430</v>
      </c>
      <c r="D24" s="130">
        <f t="shared" si="2"/>
        <v>143494.74</v>
      </c>
      <c r="E24" s="130">
        <f t="shared" si="2"/>
        <v>153460.49940000003</v>
      </c>
      <c r="F24" s="130">
        <f t="shared" si="2"/>
        <v>164092.008114</v>
      </c>
    </row>
    <row r="25" spans="1:11" ht="14" thickBot="1">
      <c r="A25" s="26" t="s">
        <v>265</v>
      </c>
      <c r="B25" s="121">
        <f>B22</f>
        <v>33972.934472934474</v>
      </c>
      <c r="C25" s="121">
        <f t="shared" ref="C25:F25" si="3">C22</f>
        <v>36574.431623931618</v>
      </c>
      <c r="D25" s="121">
        <f t="shared" si="3"/>
        <v>41847.090623931617</v>
      </c>
      <c r="E25" s="121">
        <f t="shared" si="3"/>
        <v>45335.10641393163</v>
      </c>
      <c r="F25" s="121">
        <f t="shared" si="3"/>
        <v>49405.137312834471</v>
      </c>
    </row>
    <row r="26" spans="1:11">
      <c r="A26" s="82" t="s">
        <v>96</v>
      </c>
      <c r="B26" s="130">
        <f>B24-B25</f>
        <v>86027.065527065526</v>
      </c>
      <c r="C26" s="130">
        <f t="shared" ref="C26:F26" si="4">C24-C25</f>
        <v>91855.568376068375</v>
      </c>
      <c r="D26" s="130">
        <f t="shared" si="4"/>
        <v>101647.64937606838</v>
      </c>
      <c r="E26" s="130">
        <f t="shared" si="4"/>
        <v>108125.3929860684</v>
      </c>
      <c r="F26" s="130">
        <f t="shared" si="4"/>
        <v>114686.87080116553</v>
      </c>
    </row>
    <row r="27" spans="1:11">
      <c r="A27" s="82"/>
      <c r="B27" s="123"/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1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</row>
    <row r="30" spans="1:11">
      <c r="A30" s="83" t="s">
        <v>170</v>
      </c>
      <c r="B30" s="84"/>
      <c r="C30" s="120">
        <f>B6</f>
        <v>1200000</v>
      </c>
      <c r="E30" s="279" t="s">
        <v>253</v>
      </c>
      <c r="F30" s="280"/>
      <c r="G30" s="120">
        <f>'5 Yr BTCF'!F28</f>
        <v>1594841.8298940004</v>
      </c>
      <c r="I30" s="83" t="s">
        <v>77</v>
      </c>
      <c r="J30" s="84"/>
      <c r="K30" s="84"/>
    </row>
    <row r="31" spans="1:11">
      <c r="A31" t="s">
        <v>171</v>
      </c>
      <c r="C31" s="79">
        <f>APOD!G33</f>
        <v>0</v>
      </c>
      <c r="E31" s="277" t="s">
        <v>254</v>
      </c>
      <c r="F31" s="277"/>
      <c r="G31" s="130">
        <f>'5 Yr BTCF'!F29</f>
        <v>127587.34639152004</v>
      </c>
      <c r="I31" t="s">
        <v>78</v>
      </c>
      <c r="K31" s="130">
        <f>'5 Yr BTCF'!F28</f>
        <v>1594841.8298940004</v>
      </c>
    </row>
    <row r="32" spans="1:11" ht="14" thickBot="1">
      <c r="A32" t="s">
        <v>172</v>
      </c>
      <c r="C32" s="121">
        <f>SUM(B19:F19)</f>
        <v>117663.81766381767</v>
      </c>
      <c r="E32" s="277" t="s">
        <v>255</v>
      </c>
      <c r="F32" s="277"/>
      <c r="G32" s="121">
        <f>C33</f>
        <v>1082336.1823361823</v>
      </c>
      <c r="I32" t="s">
        <v>237</v>
      </c>
      <c r="K32" s="130">
        <f>'5 Yr BTCF'!F29</f>
        <v>127587.34639152004</v>
      </c>
    </row>
    <row r="33" spans="1:11">
      <c r="A33" s="85" t="s">
        <v>252</v>
      </c>
      <c r="B33" s="86"/>
      <c r="C33" s="129">
        <f>C30+C31-C32</f>
        <v>1082336.1823361823</v>
      </c>
      <c r="E33" s="277" t="s">
        <v>256</v>
      </c>
      <c r="F33" s="277"/>
      <c r="G33" s="130">
        <f>G30-G31-G32</f>
        <v>384918.3011662981</v>
      </c>
      <c r="I33" t="s">
        <v>81</v>
      </c>
      <c r="K33" s="130">
        <f>G38</f>
        <v>69504.126941326482</v>
      </c>
    </row>
    <row r="34" spans="1:11" ht="14" thickBot="1">
      <c r="E34" s="277" t="s">
        <v>257</v>
      </c>
      <c r="F34" s="277"/>
      <c r="G34" s="130">
        <f>C32</f>
        <v>117663.81766381767</v>
      </c>
      <c r="I34" t="s">
        <v>238</v>
      </c>
      <c r="K34" s="130">
        <v>0</v>
      </c>
    </row>
    <row r="35" spans="1:11">
      <c r="E35" s="126" t="s">
        <v>90</v>
      </c>
      <c r="F35" s="126"/>
      <c r="G35" s="130">
        <f>G33-G34</f>
        <v>267254.48350248043</v>
      </c>
      <c r="I35" s="82" t="s">
        <v>239</v>
      </c>
      <c r="K35" s="113">
        <f>K31-K32-K33-K34</f>
        <v>1397750.3565611539</v>
      </c>
    </row>
    <row r="36" spans="1:11">
      <c r="E36" s="277" t="s">
        <v>258</v>
      </c>
      <c r="F36" s="277"/>
      <c r="G36" s="110">
        <f>APOD!G32</f>
        <v>0.25</v>
      </c>
    </row>
    <row r="37" spans="1:11">
      <c r="E37" s="277" t="s">
        <v>75</v>
      </c>
      <c r="F37" s="277"/>
      <c r="G37" s="110">
        <f>APOD!G31</f>
        <v>0.15</v>
      </c>
    </row>
    <row r="38" spans="1:11">
      <c r="E38" s="278" t="s">
        <v>76</v>
      </c>
      <c r="F38" s="278"/>
      <c r="G38" s="129">
        <f>(G34*G36)+(G35*G37)</f>
        <v>69504.126941326482</v>
      </c>
    </row>
    <row r="39" spans="1:11">
      <c r="A39" s="82" t="s">
        <v>240</v>
      </c>
    </row>
    <row r="40" spans="1:11">
      <c r="A40" s="88" t="s">
        <v>241</v>
      </c>
      <c r="B40" s="88" t="s">
        <v>251</v>
      </c>
      <c r="C40" s="88" t="s">
        <v>121</v>
      </c>
      <c r="D40" s="88" t="s">
        <v>122</v>
      </c>
      <c r="E40" s="88" t="s">
        <v>97</v>
      </c>
      <c r="F40" s="88" t="s">
        <v>98</v>
      </c>
    </row>
    <row r="41" spans="1:11">
      <c r="A41" s="130">
        <f>-E11</f>
        <v>-1200000</v>
      </c>
      <c r="B41" s="130">
        <f>B26</f>
        <v>86027.065527065526</v>
      </c>
      <c r="C41" s="130">
        <f t="shared" ref="C41:E41" si="5">C26</f>
        <v>91855.568376068375</v>
      </c>
      <c r="D41" s="130">
        <f t="shared" si="5"/>
        <v>101647.64937606838</v>
      </c>
      <c r="E41" s="130">
        <f t="shared" si="5"/>
        <v>108125.3929860684</v>
      </c>
      <c r="F41" s="130">
        <f>F26+K35</f>
        <v>1512437.2273623194</v>
      </c>
    </row>
    <row r="42" spans="1:11">
      <c r="A42" s="125"/>
      <c r="B42" s="123"/>
    </row>
    <row r="43" spans="1:11">
      <c r="A43" t="s">
        <v>242</v>
      </c>
      <c r="B43" s="148">
        <f>IRR(A41:F41)</f>
        <v>0.10897422399985324</v>
      </c>
    </row>
    <row r="44" spans="1:11">
      <c r="A44" t="s">
        <v>243</v>
      </c>
      <c r="B44" s="130">
        <f>NPV(H11,B41:F41)</f>
        <v>854260.08683686552</v>
      </c>
    </row>
    <row r="45" spans="1:11">
      <c r="A45" t="s">
        <v>244</v>
      </c>
      <c r="B45" s="130">
        <f>B44+A41</f>
        <v>-345739.91316313448</v>
      </c>
    </row>
  </sheetData>
  <mergeCells count="14">
    <mergeCell ref="E37:F37"/>
    <mergeCell ref="E38:F38"/>
    <mergeCell ref="E30:F30"/>
    <mergeCell ref="E31:F31"/>
    <mergeCell ref="E32:F32"/>
    <mergeCell ref="E33:F33"/>
    <mergeCell ref="E34:F34"/>
    <mergeCell ref="E36:F36"/>
    <mergeCell ref="A2:L2"/>
    <mergeCell ref="A5:B5"/>
    <mergeCell ref="D5:E5"/>
    <mergeCell ref="G5:H5"/>
    <mergeCell ref="D10:E10"/>
    <mergeCell ref="G10:H1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9" workbookViewId="0">
      <selection activeCell="A60" sqref="A60"/>
    </sheetView>
  </sheetViews>
  <sheetFormatPr baseColWidth="10" defaultColWidth="11" defaultRowHeight="13" outlineLevelRow="1" x14ac:dyDescent="0"/>
  <cols>
    <col min="1" max="1" width="23.42578125" bestFit="1" customWidth="1"/>
    <col min="2" max="2" width="11" bestFit="1" customWidth="1"/>
    <col min="4" max="4" width="14.140625" bestFit="1" customWidth="1"/>
    <col min="5" max="5" width="12.42578125" bestFit="1" customWidth="1"/>
    <col min="6" max="6" width="11.140625" bestFit="1" customWidth="1"/>
    <col min="7" max="7" width="12.28515625" bestFit="1" customWidth="1"/>
    <col min="8" max="8" width="12.140625" bestFit="1" customWidth="1"/>
  </cols>
  <sheetData>
    <row r="1" spans="1:12" ht="14" thickBot="1"/>
    <row r="2" spans="1:12" ht="17" thickBot="1">
      <c r="A2" s="259" t="s">
        <v>268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6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145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68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97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97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97">
        <f>B8</f>
        <v>840000</v>
      </c>
    </row>
    <row r="13" spans="1:12">
      <c r="A13" t="s">
        <v>165</v>
      </c>
      <c r="B13" s="97">
        <f>APOD!G11</f>
        <v>7339.0519512498258</v>
      </c>
      <c r="D13" t="s">
        <v>53</v>
      </c>
      <c r="E13" s="97">
        <f>E11-E12</f>
        <v>360000</v>
      </c>
      <c r="G13" s="132" t="s">
        <v>124</v>
      </c>
    </row>
    <row r="14" spans="1:12">
      <c r="A14" t="s">
        <v>70</v>
      </c>
      <c r="B14" s="97">
        <f>APOD!G12</f>
        <v>88068.623414997914</v>
      </c>
      <c r="G14" t="s">
        <v>123</v>
      </c>
      <c r="H14" s="234">
        <f>'5 Yr BTCF'!C63</f>
        <v>0.24527989933586536</v>
      </c>
    </row>
    <row r="17" spans="1:10">
      <c r="A17" s="82" t="s">
        <v>130</v>
      </c>
    </row>
    <row r="18" spans="1:10">
      <c r="A18" s="291" t="s">
        <v>131</v>
      </c>
      <c r="B18" s="292" t="s">
        <v>132</v>
      </c>
      <c r="C18" s="285" t="s">
        <v>133</v>
      </c>
      <c r="D18" s="282" t="s">
        <v>138</v>
      </c>
      <c r="E18" s="285" t="s">
        <v>134</v>
      </c>
      <c r="F18" s="282" t="s">
        <v>139</v>
      </c>
      <c r="G18" s="285" t="s">
        <v>135</v>
      </c>
      <c r="H18" s="282" t="s">
        <v>140</v>
      </c>
      <c r="I18" s="285" t="s">
        <v>134</v>
      </c>
      <c r="J18" s="288" t="s">
        <v>305</v>
      </c>
    </row>
    <row r="19" spans="1:10">
      <c r="A19" s="291"/>
      <c r="B19" s="293"/>
      <c r="C19" s="286"/>
      <c r="D19" s="283"/>
      <c r="E19" s="286"/>
      <c r="F19" s="283"/>
      <c r="G19" s="286"/>
      <c r="H19" s="283"/>
      <c r="I19" s="286"/>
      <c r="J19" s="289"/>
    </row>
    <row r="20" spans="1:10">
      <c r="A20" s="291"/>
      <c r="B20" s="294"/>
      <c r="C20" s="287"/>
      <c r="D20" s="284"/>
      <c r="E20" s="287"/>
      <c r="F20" s="284"/>
      <c r="G20" s="287"/>
      <c r="H20" s="284"/>
      <c r="I20" s="287"/>
      <c r="J20" s="290"/>
    </row>
    <row r="21" spans="1:10">
      <c r="A21">
        <v>1</v>
      </c>
      <c r="B21" s="133">
        <f>E13</f>
        <v>360000</v>
      </c>
      <c r="C21" s="127" t="s">
        <v>133</v>
      </c>
      <c r="D21" s="133">
        <f>B21*$H$14</f>
        <v>88300.763760911534</v>
      </c>
      <c r="E21" s="127" t="s">
        <v>134</v>
      </c>
      <c r="F21" s="133">
        <f>B21+D21</f>
        <v>448300.76376091153</v>
      </c>
      <c r="G21" s="127" t="s">
        <v>135</v>
      </c>
      <c r="H21" s="133">
        <f>'10 Yr BTCF'!K48</f>
        <v>31931.376585002086</v>
      </c>
      <c r="I21" s="127" t="s">
        <v>134</v>
      </c>
      <c r="J21" s="134">
        <f>F21-H21</f>
        <v>416369.38717590948</v>
      </c>
    </row>
    <row r="22" spans="1:10">
      <c r="A22">
        <v>2</v>
      </c>
      <c r="B22" s="134">
        <f>J21</f>
        <v>416369.38717590948</v>
      </c>
      <c r="C22" s="127" t="s">
        <v>133</v>
      </c>
      <c r="D22" s="133">
        <f t="shared" ref="D22:D25" si="0">B22*$H$14</f>
        <v>102127.04137304303</v>
      </c>
      <c r="E22" s="127" t="s">
        <v>134</v>
      </c>
      <c r="F22" s="133">
        <f t="shared" ref="F22:F25" si="1">B22+D22</f>
        <v>518496.42854895251</v>
      </c>
      <c r="G22" s="127" t="s">
        <v>135</v>
      </c>
      <c r="H22" s="133">
        <f>'10 Yr BTCF'!K49</f>
        <v>40361.376585002086</v>
      </c>
      <c r="I22" s="127" t="s">
        <v>134</v>
      </c>
      <c r="J22" s="134">
        <f t="shared" ref="J22:J25" si="2">F22-H22</f>
        <v>478135.05196395039</v>
      </c>
    </row>
    <row r="23" spans="1:10">
      <c r="A23">
        <v>3</v>
      </c>
      <c r="B23" s="134">
        <f t="shared" ref="B23:B25" si="3">J22</f>
        <v>478135.05196395039</v>
      </c>
      <c r="C23" s="127" t="s">
        <v>133</v>
      </c>
      <c r="D23" s="133">
        <f t="shared" si="0"/>
        <v>117276.9174146665</v>
      </c>
      <c r="E23" s="127" t="s">
        <v>134</v>
      </c>
      <c r="F23" s="133">
        <f t="shared" si="1"/>
        <v>595411.96937861689</v>
      </c>
      <c r="G23" s="127" t="s">
        <v>135</v>
      </c>
      <c r="H23" s="133">
        <f>'10 Yr BTCF'!K50</f>
        <v>55426.116585002077</v>
      </c>
      <c r="I23" s="127" t="s">
        <v>134</v>
      </c>
      <c r="J23" s="134">
        <f t="shared" si="2"/>
        <v>539985.85279361485</v>
      </c>
    </row>
    <row r="24" spans="1:10">
      <c r="A24">
        <v>4</v>
      </c>
      <c r="B24" s="134">
        <f t="shared" si="3"/>
        <v>539985.85279361485</v>
      </c>
      <c r="C24" s="127" t="s">
        <v>133</v>
      </c>
      <c r="D24" s="133">
        <f t="shared" si="0"/>
        <v>132447.67561600925</v>
      </c>
      <c r="E24" s="127" t="s">
        <v>134</v>
      </c>
      <c r="F24" s="133">
        <f t="shared" si="1"/>
        <v>672433.52840962412</v>
      </c>
      <c r="G24" s="127" t="s">
        <v>135</v>
      </c>
      <c r="H24" s="133">
        <f>'10 Yr BTCF'!K51</f>
        <v>65391.875985002116</v>
      </c>
      <c r="I24" s="127" t="s">
        <v>134</v>
      </c>
      <c r="J24" s="134">
        <f t="shared" si="2"/>
        <v>607041.65242462198</v>
      </c>
    </row>
    <row r="25" spans="1:10">
      <c r="A25">
        <v>5</v>
      </c>
      <c r="B25" s="134">
        <f t="shared" si="3"/>
        <v>607041.65242462198</v>
      </c>
      <c r="C25" s="127" t="s">
        <v>133</v>
      </c>
      <c r="D25" s="133">
        <f t="shared" si="0"/>
        <v>148895.11539938865</v>
      </c>
      <c r="E25" s="127" t="s">
        <v>134</v>
      </c>
      <c r="F25" s="133">
        <f t="shared" si="1"/>
        <v>755936.76782401069</v>
      </c>
      <c r="G25" s="127" t="s">
        <v>135</v>
      </c>
      <c r="H25" s="133">
        <f>'5 Yr BTCF'!F25+'5 Yr BTCF'!F31</f>
        <v>755936.76782403491</v>
      </c>
      <c r="I25" s="127" t="s">
        <v>134</v>
      </c>
      <c r="J25" s="134">
        <f t="shared" si="2"/>
        <v>-2.4214386940002441E-8</v>
      </c>
    </row>
    <row r="35" spans="1:4">
      <c r="A35" s="281" t="s">
        <v>154</v>
      </c>
      <c r="B35" s="252"/>
      <c r="C35" s="253"/>
    </row>
    <row r="36" spans="1:4">
      <c r="A36" s="92" t="s">
        <v>155</v>
      </c>
      <c r="B36" s="136">
        <f>NPV(B56,C52:G52)</f>
        <v>132951.46723920864</v>
      </c>
      <c r="C36" s="139">
        <f>B36/B38</f>
        <v>0.36930963122001564</v>
      </c>
    </row>
    <row r="37" spans="1:4">
      <c r="A37" s="93" t="s">
        <v>156</v>
      </c>
      <c r="B37" s="135">
        <f>NPV(B56,C54:G54)</f>
        <v>227048.53276079948</v>
      </c>
      <c r="C37" s="140">
        <f>B37/B38</f>
        <v>0.6306903687799843</v>
      </c>
    </row>
    <row r="38" spans="1:4">
      <c r="A38" s="94" t="s">
        <v>230</v>
      </c>
      <c r="B38" s="137">
        <f>B36+B37</f>
        <v>360000.00000000815</v>
      </c>
      <c r="C38" s="138">
        <f>C36+C37</f>
        <v>1</v>
      </c>
    </row>
    <row r="41" spans="1:4">
      <c r="A41" s="281" t="s">
        <v>231</v>
      </c>
      <c r="B41" s="252"/>
      <c r="C41" s="253"/>
    </row>
    <row r="42" spans="1:4">
      <c r="A42" s="95" t="s">
        <v>232</v>
      </c>
      <c r="B42" s="136">
        <f>D68</f>
        <v>89246.277333277263</v>
      </c>
      <c r="C42" s="236">
        <f>B42/$B$47</f>
        <v>0.24790632592576461</v>
      </c>
      <c r="D42" s="90" t="s">
        <v>74</v>
      </c>
    </row>
    <row r="43" spans="1:4">
      <c r="A43" s="96" t="s">
        <v>233</v>
      </c>
      <c r="B43" s="135">
        <f>E68</f>
        <v>46241.16372199179</v>
      </c>
      <c r="C43" s="236">
        <f t="shared" ref="C43:C47" si="4">B43/$B$47</f>
        <v>0.12844767700552986</v>
      </c>
      <c r="D43" s="90" t="s">
        <v>74</v>
      </c>
    </row>
    <row r="44" spans="1:4">
      <c r="A44" s="96" t="s">
        <v>225</v>
      </c>
      <c r="B44" s="135">
        <f>F68</f>
        <v>86710.303517216846</v>
      </c>
      <c r="C44" s="236">
        <f t="shared" si="4"/>
        <v>0.24086195421448583</v>
      </c>
      <c r="D44" s="90" t="s">
        <v>73</v>
      </c>
    </row>
    <row r="45" spans="1:4">
      <c r="A45" s="96" t="s">
        <v>226</v>
      </c>
      <c r="B45" s="135">
        <f>G68</f>
        <v>17584.777992081457</v>
      </c>
      <c r="C45" s="236">
        <f t="shared" si="4"/>
        <v>4.8846605533558504E-2</v>
      </c>
      <c r="D45" s="90" t="s">
        <v>73</v>
      </c>
    </row>
    <row r="46" spans="1:4">
      <c r="A46" s="96" t="s">
        <v>227</v>
      </c>
      <c r="B46" s="135">
        <f>H68</f>
        <v>120217.47743544074</v>
      </c>
      <c r="C46" s="236">
        <f t="shared" si="4"/>
        <v>0.33393743732066122</v>
      </c>
      <c r="D46" s="90" t="s">
        <v>73</v>
      </c>
    </row>
    <row r="47" spans="1:4">
      <c r="A47" s="94" t="s">
        <v>72</v>
      </c>
      <c r="B47" s="137">
        <f>SUM(B42:B46)</f>
        <v>360000.00000000809</v>
      </c>
      <c r="C47" s="236">
        <f t="shared" si="4"/>
        <v>1</v>
      </c>
      <c r="D47" s="90" t="s">
        <v>73</v>
      </c>
    </row>
    <row r="51" spans="1:12" outlineLevel="1">
      <c r="A51" s="141" t="s">
        <v>125</v>
      </c>
      <c r="B51" s="23" t="s">
        <v>126</v>
      </c>
      <c r="C51" s="23" t="s">
        <v>127</v>
      </c>
      <c r="D51" s="23" t="s">
        <v>121</v>
      </c>
      <c r="E51" s="23" t="s">
        <v>122</v>
      </c>
      <c r="F51" s="23" t="s">
        <v>97</v>
      </c>
      <c r="G51" s="23" t="s">
        <v>98</v>
      </c>
    </row>
    <row r="52" spans="1:12" outlineLevel="1">
      <c r="A52" s="23"/>
      <c r="B52" s="102">
        <f>E13*-1</f>
        <v>-360000</v>
      </c>
      <c r="C52" s="142">
        <f>'10 Yr BTCF'!B25</f>
        <v>31931.376585002086</v>
      </c>
      <c r="D52" s="142">
        <f>'10 Yr BTCF'!C25</f>
        <v>40361.376585002086</v>
      </c>
      <c r="E52" s="142">
        <f>'10 Yr BTCF'!D25</f>
        <v>55426.116585002077</v>
      </c>
      <c r="F52" s="142">
        <f>'10 Yr BTCF'!E25</f>
        <v>65391.875985002116</v>
      </c>
      <c r="G52" s="142">
        <f>'10 Yr BTCF'!F25</f>
        <v>76023.384699002083</v>
      </c>
    </row>
    <row r="53" spans="1:12" outlineLevel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outlineLevel="1">
      <c r="A54" s="141" t="s">
        <v>128</v>
      </c>
      <c r="B54" s="23"/>
      <c r="C54" s="23">
        <f>0</f>
        <v>0</v>
      </c>
      <c r="D54" s="23">
        <f>0</f>
        <v>0</v>
      </c>
      <c r="E54" s="23">
        <f>0</f>
        <v>0</v>
      </c>
      <c r="F54" s="23">
        <f>0</f>
        <v>0</v>
      </c>
      <c r="G54" s="159">
        <f>'5 Yr BTCF'!F31</f>
        <v>679913.38312503276</v>
      </c>
      <c r="L54" s="142"/>
    </row>
    <row r="55" spans="1:12" outlineLevel="1">
      <c r="A55" s="14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outlineLevel="1">
      <c r="A56" s="141" t="s">
        <v>129</v>
      </c>
      <c r="B56" s="143">
        <f>H14</f>
        <v>0.24527989933586536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outlineLevel="1">
      <c r="A57" s="141" t="s">
        <v>31</v>
      </c>
      <c r="B57" s="144">
        <f>NPV(B56,C52:G52)</f>
        <v>132951.46723920864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outlineLevel="1">
      <c r="A58" s="141" t="s">
        <v>32</v>
      </c>
      <c r="B58" s="144">
        <f>NPV(B56,C54:G54)</f>
        <v>227048.53276079948</v>
      </c>
      <c r="C58" s="23"/>
      <c r="D58" s="144"/>
      <c r="E58" s="23"/>
      <c r="F58" s="23"/>
      <c r="G58" s="23"/>
      <c r="H58" s="23"/>
      <c r="I58" s="23"/>
      <c r="J58" s="23"/>
      <c r="K58" s="23"/>
      <c r="L58" s="23"/>
    </row>
    <row r="61" spans="1:12" outlineLevel="1">
      <c r="C61" s="241" t="s">
        <v>289</v>
      </c>
      <c r="D61" s="241" t="s">
        <v>290</v>
      </c>
      <c r="E61" s="241" t="s">
        <v>291</v>
      </c>
      <c r="F61" s="241" t="s">
        <v>292</v>
      </c>
      <c r="G61" s="241" t="s">
        <v>293</v>
      </c>
      <c r="H61" s="241" t="s">
        <v>294</v>
      </c>
      <c r="I61" s="241"/>
      <c r="J61" s="241" t="s">
        <v>295</v>
      </c>
    </row>
    <row r="62" spans="1:12" outlineLevel="1">
      <c r="C62" s="241">
        <v>1</v>
      </c>
      <c r="D62" s="242">
        <v>0</v>
      </c>
      <c r="E62" s="242">
        <f>J62-F62</f>
        <v>0</v>
      </c>
      <c r="F62" s="242">
        <f>$C$52</f>
        <v>31931.376585002086</v>
      </c>
      <c r="G62" s="242">
        <v>0</v>
      </c>
      <c r="H62" s="242">
        <v>0</v>
      </c>
      <c r="I62" s="241"/>
      <c r="J62" s="242">
        <f>INDEX('5 Yr BTCF'!$B$25:$F$25,ROWS('5 Yr BTCF'!$B$25:B25))</f>
        <v>31931.376585002086</v>
      </c>
    </row>
    <row r="63" spans="1:12" outlineLevel="1">
      <c r="C63" s="241">
        <v>2</v>
      </c>
      <c r="D63" s="242">
        <v>0</v>
      </c>
      <c r="E63" s="242">
        <f t="shared" ref="E63:E66" si="5">J63-F63</f>
        <v>8430</v>
      </c>
      <c r="F63" s="242">
        <f t="shared" ref="F63:F66" si="6">$C$52</f>
        <v>31931.376585002086</v>
      </c>
      <c r="G63" s="242">
        <v>0</v>
      </c>
      <c r="H63" s="242">
        <v>0</v>
      </c>
      <c r="I63" s="241"/>
      <c r="J63" s="242">
        <f>INDEX('5 Yr BTCF'!$B$25:$F$25,ROWS('5 Yr BTCF'!$B$25:B26))</f>
        <v>40361.376585002086</v>
      </c>
    </row>
    <row r="64" spans="1:12" outlineLevel="1">
      <c r="C64" s="241">
        <v>3</v>
      </c>
      <c r="D64" s="242">
        <v>0</v>
      </c>
      <c r="E64" s="242">
        <f t="shared" si="5"/>
        <v>23494.739999999991</v>
      </c>
      <c r="F64" s="242">
        <f t="shared" si="6"/>
        <v>31931.376585002086</v>
      </c>
      <c r="G64" s="242">
        <v>0</v>
      </c>
      <c r="H64" s="242">
        <v>0</v>
      </c>
      <c r="I64" s="241"/>
      <c r="J64" s="242">
        <f>INDEX('5 Yr BTCF'!$B$25:$F$25,ROWS('5 Yr BTCF'!$B$25:B27))</f>
        <v>55426.116585002077</v>
      </c>
    </row>
    <row r="65" spans="3:10" outlineLevel="1">
      <c r="C65" s="241">
        <v>4</v>
      </c>
      <c r="D65" s="242">
        <v>0</v>
      </c>
      <c r="E65" s="242">
        <f t="shared" si="5"/>
        <v>33460.49940000003</v>
      </c>
      <c r="F65" s="242">
        <f t="shared" si="6"/>
        <v>31931.376585002086</v>
      </c>
      <c r="G65" s="242">
        <v>0</v>
      </c>
      <c r="H65" s="242">
        <v>0</v>
      </c>
      <c r="I65" s="241"/>
      <c r="J65" s="242">
        <f>INDEX('5 Yr BTCF'!$B$25:$F$25,ROWS('5 Yr BTCF'!$B$25:B28))</f>
        <v>65391.875985002116</v>
      </c>
    </row>
    <row r="66" spans="3:10" outlineLevel="1">
      <c r="C66" s="241">
        <v>5</v>
      </c>
      <c r="D66" s="242">
        <f>'5 Yr BTCF'!F28-'5 Yr BTCF'!F29-'5 Yr BTCF'!E11</f>
        <v>267254.48350248043</v>
      </c>
      <c r="E66" s="242">
        <f t="shared" si="5"/>
        <v>44092.008113999997</v>
      </c>
      <c r="F66" s="242">
        <f t="shared" si="6"/>
        <v>31931.376585002086</v>
      </c>
      <c r="G66" s="242">
        <f>'5 Yr BTCF'!E12-'5 Yr BTCF'!F30</f>
        <v>52658.89962255233</v>
      </c>
      <c r="H66" s="242">
        <f>E13</f>
        <v>360000</v>
      </c>
      <c r="I66" s="241"/>
      <c r="J66" s="242">
        <f>INDEX('5 Yr BTCF'!$B$25:$F$25,ROWS('5 Yr BTCF'!$B$25:B29))</f>
        <v>76023.384699002083</v>
      </c>
    </row>
    <row r="67" spans="3:10" outlineLevel="1">
      <c r="C67" s="241"/>
      <c r="D67" s="241"/>
      <c r="E67" s="241"/>
      <c r="F67" s="241"/>
      <c r="G67" s="241"/>
      <c r="H67" s="241"/>
      <c r="I67" s="241"/>
      <c r="J67" s="241"/>
    </row>
    <row r="68" spans="3:10" outlineLevel="1">
      <c r="C68" s="241"/>
      <c r="D68" s="244">
        <f>NPV(H14,D62:D66)</f>
        <v>89246.277333277263</v>
      </c>
      <c r="E68" s="244">
        <f>NPV(H14,E62:E66)</f>
        <v>46241.16372199179</v>
      </c>
      <c r="F68" s="244">
        <f>NPV(H14,F62:F66)</f>
        <v>86710.303517216846</v>
      </c>
      <c r="G68" s="244">
        <f>NPV(H14,G62:G66)</f>
        <v>17584.777992081457</v>
      </c>
      <c r="H68" s="244">
        <f>NPV(H14,H62:H66)</f>
        <v>120217.47743544074</v>
      </c>
      <c r="I68" s="241"/>
      <c r="J68" s="241"/>
    </row>
    <row r="69" spans="3:10">
      <c r="E69" s="235"/>
    </row>
  </sheetData>
  <mergeCells count="18">
    <mergeCell ref="G18:G20"/>
    <mergeCell ref="H18:H20"/>
    <mergeCell ref="I18:I20"/>
    <mergeCell ref="J18:J20"/>
    <mergeCell ref="A35:C35"/>
    <mergeCell ref="E18:E20"/>
    <mergeCell ref="F18:F20"/>
    <mergeCell ref="A41:C41"/>
    <mergeCell ref="A18:A20"/>
    <mergeCell ref="B18:B20"/>
    <mergeCell ref="C18:C20"/>
    <mergeCell ref="D18:D20"/>
    <mergeCell ref="A2:L2"/>
    <mergeCell ref="A5:B5"/>
    <mergeCell ref="D5:E5"/>
    <mergeCell ref="G5:H5"/>
    <mergeCell ref="D10:E10"/>
    <mergeCell ref="G10:H1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L35" sqref="L35"/>
    </sheetView>
  </sheetViews>
  <sheetFormatPr baseColWidth="10" defaultColWidth="11" defaultRowHeight="13" x14ac:dyDescent="0"/>
  <cols>
    <col min="12" max="12" width="17" bestFit="1" customWidth="1"/>
  </cols>
  <sheetData>
    <row r="1" spans="1:13" ht="14" thickBot="1">
      <c r="A1" t="s">
        <v>57</v>
      </c>
    </row>
    <row r="2" spans="1:13" ht="14" thickBot="1">
      <c r="B2" s="297" t="s">
        <v>311</v>
      </c>
      <c r="C2" s="298"/>
      <c r="D2" s="298"/>
      <c r="E2" s="298"/>
      <c r="F2" s="298"/>
      <c r="G2" s="304"/>
      <c r="H2" s="304"/>
      <c r="I2" s="304"/>
      <c r="J2" s="305"/>
    </row>
    <row r="3" spans="1:13" ht="14" thickBot="1">
      <c r="B3" s="185"/>
      <c r="C3" s="186"/>
      <c r="D3" s="186"/>
      <c r="E3" s="187"/>
      <c r="G3" s="213"/>
      <c r="H3" s="214"/>
      <c r="I3" s="214"/>
      <c r="J3" s="212"/>
      <c r="L3" s="295" t="s">
        <v>235</v>
      </c>
      <c r="M3" s="296"/>
    </row>
    <row r="4" spans="1:13" ht="14" thickBot="1">
      <c r="B4" s="162"/>
      <c r="C4" s="300" t="s">
        <v>80</v>
      </c>
      <c r="D4" s="301"/>
      <c r="E4" s="163"/>
      <c r="G4" s="178"/>
      <c r="H4" s="302" t="s">
        <v>308</v>
      </c>
      <c r="I4" s="303"/>
      <c r="J4" s="177"/>
      <c r="L4" s="189" t="s">
        <v>236</v>
      </c>
      <c r="M4" s="204">
        <v>0.05</v>
      </c>
    </row>
    <row r="5" spans="1:13" ht="14" thickBot="1">
      <c r="B5" s="162"/>
      <c r="C5" s="300" t="s">
        <v>79</v>
      </c>
      <c r="D5" s="301"/>
      <c r="E5" s="163"/>
      <c r="G5" s="178"/>
      <c r="H5" s="302" t="s">
        <v>79</v>
      </c>
      <c r="I5" s="303"/>
      <c r="J5" s="177"/>
      <c r="L5" s="189" t="s">
        <v>166</v>
      </c>
      <c r="M5" s="204">
        <v>0.1</v>
      </c>
    </row>
    <row r="6" spans="1:13" ht="14" thickBot="1">
      <c r="B6" s="162"/>
      <c r="C6" s="176" t="s">
        <v>82</v>
      </c>
      <c r="D6" s="160" t="s">
        <v>83</v>
      </c>
      <c r="E6" s="163"/>
      <c r="G6" s="178"/>
      <c r="H6" s="188" t="s">
        <v>82</v>
      </c>
      <c r="I6" s="211" t="s">
        <v>83</v>
      </c>
      <c r="J6" s="177"/>
    </row>
    <row r="7" spans="1:13" ht="14" thickBot="1">
      <c r="B7" s="162"/>
      <c r="C7" s="161" t="s">
        <v>84</v>
      </c>
      <c r="D7" s="198">
        <f>'5 Yr BTCF'!B68</f>
        <v>-1200000</v>
      </c>
      <c r="E7" s="170"/>
      <c r="G7" s="178"/>
      <c r="H7" s="212" t="s">
        <v>241</v>
      </c>
      <c r="I7" s="215">
        <f>INDEX('5 Yr BTCF'!$F$47:$F$52,ROWS('5 Yr BTCF'!$F$47:F47))</f>
        <v>-360000</v>
      </c>
      <c r="J7" s="177"/>
    </row>
    <row r="8" spans="1:13" ht="14" thickBot="1">
      <c r="B8" s="162"/>
      <c r="C8" s="163" t="s">
        <v>120</v>
      </c>
      <c r="D8" s="198">
        <f>'5 Yr BTCF'!B69</f>
        <v>120000</v>
      </c>
      <c r="E8" s="170"/>
      <c r="G8" s="178"/>
      <c r="H8" s="177" t="s">
        <v>120</v>
      </c>
      <c r="I8" s="215">
        <f>INDEX('5 Yr BTCF'!$F$47:$F$52,ROWS('5 Yr BTCF'!$F$47:F48))</f>
        <v>31931.376585002086</v>
      </c>
      <c r="J8" s="177"/>
    </row>
    <row r="9" spans="1:13" ht="14" thickBot="1">
      <c r="B9" s="162"/>
      <c r="C9" s="163" t="s">
        <v>121</v>
      </c>
      <c r="D9" s="198">
        <f>'5 Yr BTCF'!B70</f>
        <v>128430</v>
      </c>
      <c r="E9" s="170"/>
      <c r="G9" s="178"/>
      <c r="H9" s="177" t="s">
        <v>121</v>
      </c>
      <c r="I9" s="215">
        <f>INDEX('5 Yr BTCF'!$F$47:$F$52,ROWS('5 Yr BTCF'!$F$47:F49))</f>
        <v>40361.376585002086</v>
      </c>
      <c r="J9" s="177"/>
    </row>
    <row r="10" spans="1:13" ht="14" thickBot="1">
      <c r="B10" s="162"/>
      <c r="C10" s="163" t="s">
        <v>122</v>
      </c>
      <c r="D10" s="198">
        <f>'5 Yr BTCF'!B71</f>
        <v>143494.74</v>
      </c>
      <c r="E10" s="170"/>
      <c r="G10" s="178"/>
      <c r="H10" s="177" t="s">
        <v>122</v>
      </c>
      <c r="I10" s="215">
        <f>INDEX('5 Yr BTCF'!$F$47:$F$52,ROWS('5 Yr BTCF'!$F$47:F50))</f>
        <v>55426.116585002077</v>
      </c>
      <c r="J10" s="177"/>
    </row>
    <row r="11" spans="1:13" ht="14" thickBot="1">
      <c r="B11" s="162"/>
      <c r="C11" s="163" t="s">
        <v>97</v>
      </c>
      <c r="D11" s="198">
        <f>'5 Yr BTCF'!B72</f>
        <v>153460.49940000003</v>
      </c>
      <c r="E11" s="170"/>
      <c r="G11" s="178"/>
      <c r="H11" s="177" t="s">
        <v>97</v>
      </c>
      <c r="I11" s="215">
        <f>INDEX('5 Yr BTCF'!$F$47:$F$52,ROWS('5 Yr BTCF'!$F$47:F51))</f>
        <v>65391.875985002116</v>
      </c>
      <c r="J11" s="177"/>
    </row>
    <row r="12" spans="1:13" ht="14" thickBot="1">
      <c r="B12" s="162"/>
      <c r="C12" s="163" t="s">
        <v>98</v>
      </c>
      <c r="D12" s="198">
        <f>'5 Yr BTCF'!B73</f>
        <v>1631346.4916164805</v>
      </c>
      <c r="E12" s="170"/>
      <c r="G12" s="178"/>
      <c r="H12" s="177" t="s">
        <v>98</v>
      </c>
      <c r="I12" s="215">
        <f>INDEX('5 Yr BTCF'!$F$47:$F$52,ROWS('5 Yr BTCF'!$F$47:F52))</f>
        <v>755936.76782403491</v>
      </c>
      <c r="J12" s="177"/>
    </row>
    <row r="13" spans="1:13" ht="14" thickBot="1">
      <c r="B13" s="238"/>
      <c r="C13" s="237"/>
      <c r="D13" s="237"/>
      <c r="E13" s="170"/>
      <c r="G13" s="240"/>
      <c r="H13" s="239"/>
      <c r="I13" s="239"/>
      <c r="J13" s="207"/>
    </row>
    <row r="14" spans="1:13" ht="14" thickBot="1">
      <c r="B14" s="162"/>
      <c r="C14" s="169" t="s">
        <v>85</v>
      </c>
      <c r="D14" s="205">
        <f>IRR(D7:D12)</f>
        <v>0.14876301277193771</v>
      </c>
      <c r="E14" s="170"/>
      <c r="G14" s="178"/>
      <c r="H14" s="179" t="s">
        <v>310</v>
      </c>
      <c r="I14" s="223">
        <f>IRR(I7:I12)</f>
        <v>0.24527989933586536</v>
      </c>
      <c r="J14" s="177"/>
    </row>
    <row r="15" spans="1:13" ht="14" thickBot="1">
      <c r="B15" s="165" t="s">
        <v>86</v>
      </c>
      <c r="C15" s="200">
        <v>0.15</v>
      </c>
      <c r="D15" s="219">
        <f>NPV(C15,D8:D12)</f>
        <v>1194618.5395409693</v>
      </c>
      <c r="E15" s="170"/>
      <c r="G15" s="180" t="s">
        <v>86</v>
      </c>
      <c r="H15" s="224">
        <v>0.15</v>
      </c>
      <c r="I15" s="216">
        <f>NPV(H15,I8:I12)</f>
        <v>507951.17673371499</v>
      </c>
      <c r="J15" s="228"/>
    </row>
    <row r="16" spans="1:13" ht="14" thickBot="1">
      <c r="B16" s="173" t="s">
        <v>87</v>
      </c>
      <c r="C16" s="201">
        <v>0.12</v>
      </c>
      <c r="D16" s="220">
        <f>NPV(C16,D8:D12)</f>
        <v>1334859.9204490969</v>
      </c>
      <c r="E16" s="170"/>
      <c r="G16" s="180" t="s">
        <v>87</v>
      </c>
      <c r="H16" s="226">
        <v>0.12</v>
      </c>
      <c r="I16" s="216">
        <f>NPV(H16,I8:I12)</f>
        <v>570633.75762423128</v>
      </c>
      <c r="J16" s="228"/>
    </row>
    <row r="17" spans="2:10" ht="14" thickBot="1">
      <c r="B17" s="165" t="s">
        <v>88</v>
      </c>
      <c r="C17" s="202">
        <v>0.15</v>
      </c>
      <c r="D17" s="221">
        <f>NPV(C17,D8:D12)+D7</f>
        <v>-5381.460459030699</v>
      </c>
      <c r="E17" s="170"/>
      <c r="G17" s="180" t="s">
        <v>88</v>
      </c>
      <c r="H17" s="225">
        <v>0.15</v>
      </c>
      <c r="I17" s="216">
        <f>NPV(H17,I8:I12)+I7</f>
        <v>147951.17673371499</v>
      </c>
      <c r="J17" s="228"/>
    </row>
    <row r="18" spans="2:10" ht="14" thickBot="1">
      <c r="B18" s="173" t="s">
        <v>88</v>
      </c>
      <c r="C18" s="203">
        <v>0.1</v>
      </c>
      <c r="D18" s="218">
        <f>NPV(C18,D8:D12)+D7</f>
        <v>240794.53487186017</v>
      </c>
      <c r="E18" s="170"/>
      <c r="G18" s="180" t="s">
        <v>88</v>
      </c>
      <c r="H18" s="227">
        <v>0.1</v>
      </c>
      <c r="I18" s="216">
        <f>NPV(H18,I8:I12)+I7</f>
        <v>258068.28468505538</v>
      </c>
      <c r="J18" s="177"/>
    </row>
    <row r="19" spans="2:10" ht="14" thickBot="1">
      <c r="B19" s="162"/>
      <c r="C19" s="174" t="s">
        <v>89</v>
      </c>
      <c r="D19" s="205">
        <f>MIRR(D7:D12,M4,M5)</f>
        <v>0.14097688576023781</v>
      </c>
      <c r="E19" s="170"/>
      <c r="G19" s="178"/>
      <c r="H19" s="181" t="s">
        <v>89</v>
      </c>
      <c r="I19" s="223">
        <f>MIRR(I7:I12,M4,M5)</f>
        <v>0.22557382438589402</v>
      </c>
      <c r="J19" s="177"/>
    </row>
    <row r="20" spans="2:10" ht="14" thickBot="1">
      <c r="B20" s="166"/>
      <c r="C20" s="167"/>
      <c r="D20" s="172"/>
      <c r="E20" s="168"/>
      <c r="G20" s="182"/>
      <c r="H20" s="183"/>
      <c r="I20" s="210"/>
      <c r="J20" s="184"/>
    </row>
    <row r="22" spans="2:10" ht="14" thickBot="1"/>
    <row r="23" spans="2:10" ht="14" thickBot="1">
      <c r="B23" s="297" t="s">
        <v>312</v>
      </c>
      <c r="C23" s="298"/>
      <c r="D23" s="298"/>
      <c r="E23" s="298"/>
      <c r="F23" s="298"/>
      <c r="G23" s="304"/>
      <c r="H23" s="304"/>
      <c r="I23" s="304"/>
      <c r="J23" s="305"/>
    </row>
    <row r="24" spans="2:10" ht="14" thickBot="1">
      <c r="B24" s="185"/>
      <c r="C24" s="186"/>
      <c r="D24" s="186"/>
      <c r="E24" s="187"/>
      <c r="G24" s="213"/>
      <c r="H24" s="214"/>
      <c r="I24" s="214"/>
      <c r="J24" s="212"/>
    </row>
    <row r="25" spans="2:10" ht="14" thickBot="1">
      <c r="B25" s="162"/>
      <c r="C25" s="300" t="s">
        <v>80</v>
      </c>
      <c r="D25" s="301"/>
      <c r="E25" s="163"/>
      <c r="G25" s="178"/>
      <c r="H25" s="302" t="s">
        <v>308</v>
      </c>
      <c r="I25" s="303"/>
      <c r="J25" s="177"/>
    </row>
    <row r="26" spans="2:10" ht="14" thickBot="1">
      <c r="B26" s="162"/>
      <c r="C26" s="300" t="s">
        <v>309</v>
      </c>
      <c r="D26" s="301"/>
      <c r="E26" s="163"/>
      <c r="G26" s="178"/>
      <c r="H26" s="302" t="s">
        <v>309</v>
      </c>
      <c r="I26" s="303"/>
      <c r="J26" s="177"/>
    </row>
    <row r="27" spans="2:10" ht="14" thickBot="1">
      <c r="B27" s="162"/>
      <c r="C27" s="176" t="s">
        <v>82</v>
      </c>
      <c r="D27" s="160" t="s">
        <v>83</v>
      </c>
      <c r="E27" s="163"/>
      <c r="G27" s="178"/>
      <c r="H27" s="188" t="s">
        <v>82</v>
      </c>
      <c r="I27" s="211" t="s">
        <v>83</v>
      </c>
      <c r="J27" s="177"/>
    </row>
    <row r="28" spans="2:10" ht="14" thickBot="1">
      <c r="B28" s="162"/>
      <c r="C28" s="161" t="s">
        <v>84</v>
      </c>
      <c r="D28" s="198">
        <f>INDEX('5 Yr Unleveraged ATCF'!$A$41:$F$41,ROWS('5 Yr Unleveraged ATCF'!$A$41:A41))</f>
        <v>-1200000</v>
      </c>
      <c r="E28" s="170"/>
      <c r="G28" s="178"/>
      <c r="H28" s="212" t="s">
        <v>241</v>
      </c>
      <c r="I28" s="215">
        <f>INDEX('5 Yr ATCF'!$A$42:$F$42,ROWS('5 Yr ATCF'!$A$42:A42))</f>
        <v>-360000</v>
      </c>
      <c r="J28" s="177"/>
    </row>
    <row r="29" spans="2:10" ht="14" thickBot="1">
      <c r="B29" s="162"/>
      <c r="C29" s="163" t="s">
        <v>120</v>
      </c>
      <c r="D29" s="198">
        <f>INDEX('5 Yr Unleveraged ATCF'!$A$41:$F$41,ROWS('5 Yr Unleveraged ATCF'!$A$41:A42))</f>
        <v>86027.065527065526</v>
      </c>
      <c r="E29" s="170"/>
      <c r="G29" s="178"/>
      <c r="H29" s="177" t="s">
        <v>120</v>
      </c>
      <c r="I29" s="215">
        <f>INDEX('5 Yr ATCF'!$A$42:$F$42,ROWS('5 Yr ATCF'!$A$42:A43))</f>
        <v>25759.046474000417</v>
      </c>
      <c r="J29" s="177"/>
    </row>
    <row r="30" spans="2:10" ht="14" thickBot="1">
      <c r="B30" s="162"/>
      <c r="C30" s="163" t="s">
        <v>121</v>
      </c>
      <c r="D30" s="198">
        <f>INDEX('5 Yr Unleveraged ATCF'!$A$41:$F$41,ROWS('5 Yr Unleveraged ATCF'!$A$41:A43))</f>
        <v>91855.568376068375</v>
      </c>
      <c r="E30" s="170"/>
      <c r="G30" s="178"/>
      <c r="H30" s="177" t="s">
        <v>121</v>
      </c>
      <c r="I30" s="215">
        <f>INDEX('5 Yr ATCF'!$A$42:$F$42,ROWS('5 Yr ATCF'!$A$42:A44))</f>
        <v>31287.482804370557</v>
      </c>
      <c r="J30" s="177"/>
    </row>
    <row r="31" spans="2:10" ht="14" thickBot="1">
      <c r="B31" s="162"/>
      <c r="C31" s="163" t="s">
        <v>122</v>
      </c>
      <c r="D31" s="198">
        <f>INDEX('5 Yr Unleveraged ATCF'!$A$41:$F$41,ROWS('5 Yr Unleveraged ATCF'!$A$41:A44))</f>
        <v>101647.64937606838</v>
      </c>
      <c r="E31" s="170"/>
      <c r="G31" s="178"/>
      <c r="H31" s="177" t="s">
        <v>122</v>
      </c>
      <c r="I31" s="215">
        <f>INDEX('5 Yr ATCF'!$A$42:$F$42,ROWS('5 Yr ATCF'!$A$42:A45))</f>
        <v>40749.716408698885</v>
      </c>
      <c r="J31" s="177"/>
    </row>
    <row r="32" spans="2:10" ht="14" thickBot="1">
      <c r="B32" s="162"/>
      <c r="C32" s="163" t="s">
        <v>97</v>
      </c>
      <c r="D32" s="198">
        <f>INDEX('5 Yr Unleveraged ATCF'!$A$41:$F$41,ROWS('5 Yr Unleveraged ATCF'!$A$41:A45))</f>
        <v>108125.3929860684</v>
      </c>
      <c r="E32" s="170"/>
      <c r="G32" s="178"/>
      <c r="H32" s="177" t="s">
        <v>97</v>
      </c>
      <c r="I32" s="215">
        <f>INDEX('5 Yr ATCF'!$A$42:$F$42,ROWS('5 Yr ATCF'!$A$42:A46))</f>
        <v>46864.87606589144</v>
      </c>
      <c r="J32" s="177"/>
    </row>
    <row r="33" spans="2:10" ht="14" thickBot="1">
      <c r="B33" s="162"/>
      <c r="C33" s="163" t="s">
        <v>98</v>
      </c>
      <c r="D33" s="198">
        <f>INDEX('5 Yr Unleveraged ATCF'!$A$41:$F$41,ROWS('5 Yr Unleveraged ATCF'!$A$41:A46))</f>
        <v>1512437.2273623194</v>
      </c>
      <c r="E33" s="170"/>
      <c r="G33" s="178"/>
      <c r="H33" s="177" t="s">
        <v>98</v>
      </c>
      <c r="I33" s="215">
        <f>INDEX('5 Yr ATCF'!$A$42:$F$42,ROWS('5 Yr ATCF'!$A$42:A47))</f>
        <v>663437.04053054459</v>
      </c>
      <c r="J33" s="177"/>
    </row>
    <row r="34" spans="2:10" ht="14" thickBot="1">
      <c r="B34" s="238"/>
      <c r="C34" s="237"/>
      <c r="D34" s="237"/>
      <c r="E34" s="170"/>
      <c r="G34" s="240"/>
      <c r="H34" s="239"/>
      <c r="I34" s="239"/>
      <c r="J34" s="207"/>
    </row>
    <row r="35" spans="2:10" ht="14" thickBot="1">
      <c r="B35" s="162"/>
      <c r="C35" s="169" t="s">
        <v>85</v>
      </c>
      <c r="D35" s="205">
        <f>IRR(D28:D33)</f>
        <v>0.10897422399985324</v>
      </c>
      <c r="E35" s="170"/>
      <c r="G35" s="178"/>
      <c r="H35" s="179" t="s">
        <v>310</v>
      </c>
      <c r="I35" s="223">
        <f>IRR(I28:I33)</f>
        <v>0.19694115035641402</v>
      </c>
      <c r="J35" s="177"/>
    </row>
    <row r="36" spans="2:10" ht="14" thickBot="1">
      <c r="B36" s="165" t="s">
        <v>86</v>
      </c>
      <c r="C36" s="200">
        <v>0.15</v>
      </c>
      <c r="D36" s="219">
        <f>NPV(C36,D29:D33)</f>
        <v>1024866.7771378122</v>
      </c>
      <c r="E36" s="170"/>
      <c r="G36" s="180" t="s">
        <v>86</v>
      </c>
      <c r="H36" s="224">
        <v>0.15</v>
      </c>
      <c r="I36" s="216">
        <f>NPV(H36,I29:I33)</f>
        <v>429491.2097227826</v>
      </c>
      <c r="J36" s="228"/>
    </row>
    <row r="37" spans="2:10" ht="14" thickBot="1">
      <c r="B37" s="173" t="s">
        <v>87</v>
      </c>
      <c r="C37" s="201">
        <v>0.12</v>
      </c>
      <c r="D37" s="220">
        <f>NPV(C37,D29:D33)</f>
        <v>1149300.5080970298</v>
      </c>
      <c r="E37" s="170"/>
      <c r="G37" s="180" t="s">
        <v>87</v>
      </c>
      <c r="H37" s="226">
        <v>0.12</v>
      </c>
      <c r="I37" s="216">
        <f>NPV(H37,I29:I33)</f>
        <v>483181.651474413</v>
      </c>
      <c r="J37" s="228"/>
    </row>
    <row r="38" spans="2:10" ht="14" thickBot="1">
      <c r="B38" s="165" t="s">
        <v>88</v>
      </c>
      <c r="C38" s="202">
        <v>0.15</v>
      </c>
      <c r="D38" s="221">
        <f>NPV(C38,D29:D33)+D28</f>
        <v>-175133.22286218777</v>
      </c>
      <c r="E38" s="232"/>
      <c r="G38" s="180" t="s">
        <v>88</v>
      </c>
      <c r="H38" s="225">
        <v>0.15</v>
      </c>
      <c r="I38" s="216">
        <f>NPV(H38,I29:I33)+I28</f>
        <v>69491.209722782602</v>
      </c>
      <c r="J38" s="228"/>
    </row>
    <row r="39" spans="2:10" ht="14" thickBot="1">
      <c r="B39" s="173" t="s">
        <v>88</v>
      </c>
      <c r="C39" s="203">
        <v>0.1</v>
      </c>
      <c r="D39" s="218">
        <f>NPV(C39,D29:D33)+D28</f>
        <v>43445.122066152981</v>
      </c>
      <c r="E39" s="170"/>
      <c r="G39" s="180" t="s">
        <v>88</v>
      </c>
      <c r="H39" s="227">
        <v>0.1</v>
      </c>
      <c r="I39" s="216">
        <f>NPV(H39,I29:I33)+I28</f>
        <v>163842.14976172242</v>
      </c>
      <c r="J39" s="177"/>
    </row>
    <row r="40" spans="2:10" ht="14" thickBot="1">
      <c r="B40" s="162"/>
      <c r="C40" s="174" t="s">
        <v>89</v>
      </c>
      <c r="D40" s="205">
        <f>MIRR(D28:D33,M4,M5)</f>
        <v>0.10785203693627343</v>
      </c>
      <c r="E40" s="170"/>
      <c r="G40" s="178"/>
      <c r="H40" s="181" t="s">
        <v>89</v>
      </c>
      <c r="I40" s="223">
        <f>MIRR(I28:I33,M4,M5)</f>
        <v>0.18569304664593145</v>
      </c>
      <c r="J40" s="177"/>
    </row>
    <row r="41" spans="2:10" ht="14" thickBot="1">
      <c r="B41" s="166"/>
      <c r="C41" s="167"/>
      <c r="D41" s="172"/>
      <c r="E41" s="168"/>
      <c r="G41" s="182"/>
      <c r="H41" s="183"/>
      <c r="I41" s="210"/>
      <c r="J41" s="184"/>
    </row>
  </sheetData>
  <mergeCells count="11">
    <mergeCell ref="B2:J2"/>
    <mergeCell ref="C26:D26"/>
    <mergeCell ref="H26:I26"/>
    <mergeCell ref="C5:D5"/>
    <mergeCell ref="H5:I5"/>
    <mergeCell ref="L3:M3"/>
    <mergeCell ref="B23:J23"/>
    <mergeCell ref="C25:D25"/>
    <mergeCell ref="H25:I25"/>
    <mergeCell ref="C4:D4"/>
    <mergeCell ref="H4:I4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"/>
  <sheetViews>
    <sheetView topLeftCell="A11" workbookViewId="0">
      <selection activeCell="G33" sqref="G33"/>
    </sheetView>
  </sheetViews>
  <sheetFormatPr baseColWidth="10" defaultColWidth="11" defaultRowHeight="15" customHeight="1" x14ac:dyDescent="0"/>
  <cols>
    <col min="5" max="5" width="5.28515625" customWidth="1"/>
    <col min="6" max="6" width="17.7109375" bestFit="1" customWidth="1"/>
    <col min="7" max="7" width="13.85546875" customWidth="1"/>
  </cols>
  <sheetData>
    <row r="2" spans="1:8" ht="15" customHeight="1">
      <c r="A2" s="251" t="s">
        <v>223</v>
      </c>
      <c r="B2" s="252"/>
      <c r="C2" s="252"/>
      <c r="D2" s="252"/>
      <c r="E2" s="252"/>
      <c r="F2" s="252"/>
      <c r="G2" s="253"/>
    </row>
    <row r="3" spans="1:8" ht="13" customHeight="1"/>
    <row r="4" spans="1:8" ht="13" customHeight="1">
      <c r="A4" t="s">
        <v>248</v>
      </c>
      <c r="C4" s="254" t="s">
        <v>63</v>
      </c>
      <c r="D4" s="255"/>
      <c r="F4" s="3" t="s">
        <v>64</v>
      </c>
      <c r="G4" s="59">
        <v>1200000</v>
      </c>
    </row>
    <row r="5" spans="1:8" ht="13" customHeight="1">
      <c r="A5" t="s">
        <v>249</v>
      </c>
      <c r="C5" s="254" t="s">
        <v>62</v>
      </c>
      <c r="D5" s="255"/>
      <c r="F5" s="3" t="s">
        <v>269</v>
      </c>
      <c r="G5" s="60">
        <v>0.7</v>
      </c>
    </row>
    <row r="6" spans="1:8" ht="13" customHeight="1">
      <c r="A6" t="s">
        <v>299</v>
      </c>
      <c r="C6" s="254" t="s">
        <v>153</v>
      </c>
      <c r="D6" s="255"/>
      <c r="F6" s="3" t="s">
        <v>65</v>
      </c>
      <c r="G6" s="52">
        <f>G4*G5</f>
        <v>840000</v>
      </c>
    </row>
    <row r="7" spans="1:8" ht="13" customHeight="1">
      <c r="A7" t="s">
        <v>301</v>
      </c>
      <c r="C7" s="256">
        <v>30000</v>
      </c>
      <c r="D7" s="257"/>
      <c r="F7" s="3" t="s">
        <v>66</v>
      </c>
      <c r="G7" s="61">
        <v>9.5000000000000001E-2</v>
      </c>
    </row>
    <row r="8" spans="1:8" ht="13" customHeight="1">
      <c r="A8" t="s">
        <v>300</v>
      </c>
      <c r="C8" s="258">
        <v>0.2</v>
      </c>
      <c r="D8" s="255"/>
      <c r="F8" s="3" t="s">
        <v>67</v>
      </c>
      <c r="G8" s="53">
        <f>G7/12</f>
        <v>7.9166666666666673E-3</v>
      </c>
    </row>
    <row r="9" spans="1:8" ht="13" customHeight="1">
      <c r="F9" s="3" t="s">
        <v>68</v>
      </c>
      <c r="G9" s="62">
        <v>25</v>
      </c>
    </row>
    <row r="10" spans="1:8" ht="13" customHeight="1">
      <c r="A10" t="s">
        <v>302</v>
      </c>
      <c r="D10" s="1" t="s">
        <v>152</v>
      </c>
      <c r="F10" s="3" t="s">
        <v>69</v>
      </c>
      <c r="G10" s="50">
        <f>G9*12</f>
        <v>300</v>
      </c>
    </row>
    <row r="11" spans="1:8" ht="13" customHeight="1">
      <c r="A11" t="s">
        <v>303</v>
      </c>
      <c r="C11" s="58">
        <v>200000</v>
      </c>
      <c r="D11" s="46">
        <f>C11/C14</f>
        <v>0.22222222222222221</v>
      </c>
      <c r="F11" s="3" t="s">
        <v>165</v>
      </c>
      <c r="G11" s="51">
        <f>PMT(G8,G10,-G6)</f>
        <v>7339.0519512498258</v>
      </c>
    </row>
    <row r="12" spans="1:8" ht="13" customHeight="1">
      <c r="A12" t="s">
        <v>304</v>
      </c>
      <c r="C12" s="58">
        <v>700000</v>
      </c>
      <c r="D12" s="46">
        <f>C12/C14</f>
        <v>0.77777777777777779</v>
      </c>
      <c r="F12" s="3" t="s">
        <v>70</v>
      </c>
      <c r="G12" s="51">
        <f>G11*12</f>
        <v>88068.623414997914</v>
      </c>
      <c r="H12" s="7"/>
    </row>
    <row r="13" spans="1:8" ht="13" customHeight="1">
      <c r="A13" t="s">
        <v>150</v>
      </c>
      <c r="C13" s="58">
        <v>0</v>
      </c>
      <c r="D13" s="46">
        <f>C13/C14</f>
        <v>0</v>
      </c>
      <c r="F13" s="3" t="s">
        <v>71</v>
      </c>
      <c r="G13" s="52">
        <f>G4-G6</f>
        <v>360000</v>
      </c>
    </row>
    <row r="14" spans="1:8" ht="13" customHeight="1">
      <c r="A14" t="s">
        <v>151</v>
      </c>
      <c r="C14" s="38">
        <f>SUM(C11:C13)</f>
        <v>900000</v>
      </c>
      <c r="D14" s="46">
        <f>D12+D11+D13</f>
        <v>1</v>
      </c>
      <c r="F14" s="3" t="s">
        <v>167</v>
      </c>
      <c r="G14" s="60">
        <v>0.11</v>
      </c>
    </row>
    <row r="15" spans="1:8" ht="13" customHeight="1">
      <c r="F15" s="3" t="s">
        <v>168</v>
      </c>
      <c r="G15" s="52">
        <f>D47/C7</f>
        <v>4.0999999999999996</v>
      </c>
    </row>
    <row r="16" spans="1:8" ht="13" customHeight="1">
      <c r="A16" t="s">
        <v>222</v>
      </c>
      <c r="C16" s="59">
        <v>9</v>
      </c>
      <c r="F16" s="3" t="s">
        <v>169</v>
      </c>
      <c r="G16" s="60">
        <v>0.05</v>
      </c>
    </row>
    <row r="17" spans="1:10" ht="13" customHeight="1">
      <c r="A17" s="14" t="s">
        <v>218</v>
      </c>
      <c r="C17" s="64">
        <v>0</v>
      </c>
      <c r="F17" s="3" t="s">
        <v>61</v>
      </c>
      <c r="G17" s="60">
        <v>0.06</v>
      </c>
    </row>
    <row r="18" spans="1:10" ht="13" customHeight="1">
      <c r="F18" s="3" t="s">
        <v>12</v>
      </c>
      <c r="G18" s="60">
        <v>0</v>
      </c>
      <c r="J18" s="81"/>
    </row>
    <row r="19" spans="1:10" ht="13" customHeight="1">
      <c r="F19" s="3" t="s">
        <v>221</v>
      </c>
      <c r="G19" s="60">
        <v>0.08</v>
      </c>
    </row>
    <row r="20" spans="1:10" ht="13" customHeight="1"/>
    <row r="21" spans="1:10" ht="13" customHeight="1" thickBot="1"/>
    <row r="22" spans="1:10" ht="13" customHeight="1" thickBot="1">
      <c r="A22" s="4" t="s">
        <v>204</v>
      </c>
      <c r="F22" s="248" t="s">
        <v>280</v>
      </c>
      <c r="G22" s="249"/>
      <c r="H22" s="250"/>
    </row>
    <row r="23" spans="1:10" ht="13" customHeight="1">
      <c r="A23" s="4" t="s">
        <v>247</v>
      </c>
      <c r="D23" s="38">
        <f>C16*C7</f>
        <v>270000</v>
      </c>
      <c r="F23" s="8" t="s">
        <v>281</v>
      </c>
      <c r="G23" s="47">
        <f>D48/G4</f>
        <v>0.1</v>
      </c>
      <c r="H23" s="9"/>
    </row>
    <row r="24" spans="1:10" ht="13" customHeight="1">
      <c r="A24" t="s">
        <v>4</v>
      </c>
      <c r="D24" s="38">
        <f>IF(C17=0,D23*'Variable Rates'!B4,APOD!D23*APOD!C17)</f>
        <v>27000</v>
      </c>
      <c r="F24" s="10" t="s">
        <v>228</v>
      </c>
      <c r="G24" s="48">
        <f>D50/G13</f>
        <v>8.8698268291672461E-2</v>
      </c>
      <c r="H24" s="11"/>
    </row>
    <row r="25" spans="1:10" ht="13" customHeight="1">
      <c r="A25" t="s">
        <v>5</v>
      </c>
      <c r="D25" s="59">
        <v>0</v>
      </c>
      <c r="F25" s="10" t="s">
        <v>229</v>
      </c>
      <c r="G25" s="48">
        <f>G12/G6</f>
        <v>0.10484359930356894</v>
      </c>
      <c r="H25" s="11"/>
    </row>
    <row r="26" spans="1:10" ht="13" customHeight="1" thickBot="1">
      <c r="A26" s="4" t="s">
        <v>185</v>
      </c>
      <c r="D26" s="54">
        <f>D23-D24+D25</f>
        <v>243000</v>
      </c>
      <c r="F26" s="12" t="s">
        <v>91</v>
      </c>
      <c r="G26" s="49" t="str">
        <f>IF(G24&gt;G23,"Positve Leverage","Negative Leverage")</f>
        <v>Negative Leverage</v>
      </c>
      <c r="H26" s="13"/>
    </row>
    <row r="27" spans="1:10" ht="13" customHeight="1">
      <c r="A27" s="5" t="s">
        <v>246</v>
      </c>
    </row>
    <row r="28" spans="1:10" ht="13" customHeight="1">
      <c r="A28" t="s">
        <v>6</v>
      </c>
      <c r="D28" s="58">
        <v>25000</v>
      </c>
      <c r="F28" s="4" t="s">
        <v>92</v>
      </c>
    </row>
    <row r="29" spans="1:10" ht="13" customHeight="1">
      <c r="A29" t="s">
        <v>7</v>
      </c>
      <c r="D29" s="58">
        <v>1500</v>
      </c>
      <c r="F29" t="s">
        <v>93</v>
      </c>
      <c r="G29" s="62">
        <v>39</v>
      </c>
    </row>
    <row r="30" spans="1:10" ht="13" customHeight="1">
      <c r="A30" t="s">
        <v>8</v>
      </c>
      <c r="D30" s="58">
        <v>6000</v>
      </c>
      <c r="F30" t="s">
        <v>94</v>
      </c>
      <c r="G30" s="60">
        <v>0.35</v>
      </c>
      <c r="J30" s="65"/>
    </row>
    <row r="31" spans="1:10" ht="13" customHeight="1">
      <c r="A31" t="s">
        <v>43</v>
      </c>
      <c r="D31" s="58">
        <v>18000</v>
      </c>
      <c r="F31" t="s">
        <v>95</v>
      </c>
      <c r="G31" s="60">
        <v>0.15</v>
      </c>
    </row>
    <row r="32" spans="1:10" ht="13" customHeight="1">
      <c r="A32" t="s">
        <v>44</v>
      </c>
      <c r="D32" s="58">
        <v>0</v>
      </c>
      <c r="F32" t="s">
        <v>0</v>
      </c>
      <c r="G32" s="60">
        <v>0.25</v>
      </c>
    </row>
    <row r="33" spans="1:7" ht="13" customHeight="1">
      <c r="A33" t="s">
        <v>45</v>
      </c>
      <c r="D33" s="58">
        <v>0</v>
      </c>
      <c r="F33" t="s">
        <v>1</v>
      </c>
      <c r="G33" s="97">
        <v>0</v>
      </c>
    </row>
    <row r="34" spans="1:7" ht="13" customHeight="1">
      <c r="A34" t="s">
        <v>46</v>
      </c>
      <c r="D34" s="58">
        <v>0</v>
      </c>
      <c r="F34" t="s">
        <v>2</v>
      </c>
      <c r="G34" s="63" t="s">
        <v>3</v>
      </c>
    </row>
    <row r="35" spans="1:7" ht="13" customHeight="1">
      <c r="A35" t="s">
        <v>143</v>
      </c>
      <c r="D35" s="58">
        <v>18000</v>
      </c>
    </row>
    <row r="36" spans="1:7" ht="13" customHeight="1">
      <c r="A36" t="s">
        <v>144</v>
      </c>
      <c r="D36" s="6"/>
    </row>
    <row r="37" spans="1:7" ht="13" customHeight="1">
      <c r="A37" s="2" t="s">
        <v>145</v>
      </c>
      <c r="D37" s="58">
        <v>20000</v>
      </c>
    </row>
    <row r="38" spans="1:7" ht="13" customHeight="1">
      <c r="A38" s="2" t="s">
        <v>146</v>
      </c>
      <c r="D38" s="58">
        <v>15000</v>
      </c>
    </row>
    <row r="39" spans="1:7" ht="13" customHeight="1">
      <c r="A39" t="s">
        <v>147</v>
      </c>
      <c r="D39" s="58">
        <v>2000</v>
      </c>
    </row>
    <row r="40" spans="1:7" ht="13" customHeight="1">
      <c r="A40" t="s">
        <v>148</v>
      </c>
      <c r="D40" s="58">
        <v>500</v>
      </c>
    </row>
    <row r="41" spans="1:7" ht="13" customHeight="1">
      <c r="A41" t="s">
        <v>149</v>
      </c>
      <c r="D41" s="58">
        <v>4000</v>
      </c>
    </row>
    <row r="42" spans="1:7" ht="13" customHeight="1">
      <c r="A42" t="s">
        <v>141</v>
      </c>
      <c r="D42" s="58">
        <v>6000</v>
      </c>
    </row>
    <row r="43" spans="1:7" ht="13" customHeight="1">
      <c r="A43" t="s">
        <v>182</v>
      </c>
      <c r="D43" s="6"/>
    </row>
    <row r="44" spans="1:7" ht="13" customHeight="1">
      <c r="A44" s="2" t="s">
        <v>183</v>
      </c>
      <c r="D44" s="58">
        <v>5000</v>
      </c>
    </row>
    <row r="45" spans="1:7" ht="13" customHeight="1">
      <c r="A45" s="2" t="s">
        <v>184</v>
      </c>
      <c r="D45" s="58">
        <v>2000</v>
      </c>
    </row>
    <row r="46" spans="1:7" ht="13" customHeight="1"/>
    <row r="47" spans="1:7" ht="13" customHeight="1">
      <c r="A47" s="5" t="s">
        <v>186</v>
      </c>
      <c r="D47" s="55">
        <f>SUM(D28:D46)</f>
        <v>123000</v>
      </c>
    </row>
    <row r="48" spans="1:7" ht="13" customHeight="1">
      <c r="A48" s="4" t="s">
        <v>187</v>
      </c>
      <c r="D48" s="56">
        <f>D26-D47</f>
        <v>120000</v>
      </c>
    </row>
    <row r="49" spans="1:4" ht="13" customHeight="1">
      <c r="A49" s="5" t="s">
        <v>188</v>
      </c>
      <c r="D49" s="57">
        <f>G12</f>
        <v>88068.623414997914</v>
      </c>
    </row>
    <row r="50" spans="1:4" ht="13" customHeight="1">
      <c r="A50" s="4" t="s">
        <v>189</v>
      </c>
      <c r="D50" s="56">
        <f>D48-D49</f>
        <v>31931.376585002086</v>
      </c>
    </row>
    <row r="51" spans="1:4" ht="13" customHeight="1"/>
    <row r="52" spans="1:4" ht="13" customHeight="1"/>
    <row r="53" spans="1:4" ht="13" customHeight="1"/>
    <row r="54" spans="1:4" ht="13" customHeight="1"/>
    <row r="55" spans="1:4" ht="13" customHeight="1"/>
    <row r="56" spans="1:4" ht="13" customHeight="1"/>
    <row r="57" spans="1:4" ht="13" customHeight="1"/>
    <row r="58" spans="1:4" ht="13" customHeight="1"/>
    <row r="59" spans="1:4" ht="13" customHeight="1"/>
    <row r="60" spans="1:4" ht="13" customHeight="1"/>
    <row r="61" spans="1:4" ht="13" customHeight="1"/>
    <row r="62" spans="1:4" ht="13" customHeight="1"/>
    <row r="63" spans="1:4" ht="13" customHeight="1"/>
    <row r="64" spans="1:4" ht="13" customHeight="1"/>
    <row r="65" ht="13" customHeight="1"/>
    <row r="66" ht="13" customHeight="1"/>
    <row r="67" ht="13" customHeight="1"/>
    <row r="68" ht="13" customHeight="1"/>
    <row r="69" ht="13" customHeight="1"/>
    <row r="70" ht="13" customHeight="1"/>
    <row r="71" ht="13" customHeight="1"/>
    <row r="72" ht="13" customHeight="1"/>
    <row r="73" ht="13" customHeight="1"/>
    <row r="74" ht="13" customHeight="1"/>
    <row r="75" ht="13" customHeight="1"/>
    <row r="76" ht="13" customHeight="1"/>
    <row r="77" ht="13" customHeight="1"/>
  </sheetData>
  <mergeCells count="7">
    <mergeCell ref="F22:H22"/>
    <mergeCell ref="A2:G2"/>
    <mergeCell ref="C4:D4"/>
    <mergeCell ref="C5:D5"/>
    <mergeCell ref="C6:D6"/>
    <mergeCell ref="C7:D7"/>
    <mergeCell ref="C8:D8"/>
  </mergeCells>
  <phoneticPr fontId="14" type="noConversion"/>
  <hyperlinks>
    <hyperlink ref="A17" location="'Variable%20Rates'!D4" display="Vacancy %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11" workbookViewId="0">
      <selection activeCell="B7" sqref="B7"/>
    </sheetView>
  </sheetViews>
  <sheetFormatPr baseColWidth="10" defaultColWidth="11" defaultRowHeight="13" customHeight="1" outlineLevelRow="1" x14ac:dyDescent="0"/>
  <cols>
    <col min="1" max="1" width="18.28515625" customWidth="1"/>
    <col min="2" max="2" width="13.5703125" customWidth="1"/>
  </cols>
  <sheetData>
    <row r="1" spans="1:14" ht="13" customHeight="1" thickBot="1"/>
    <row r="2" spans="1:14" ht="18" customHeight="1" thickBot="1">
      <c r="A2" s="259" t="s">
        <v>109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1"/>
    </row>
    <row r="4" spans="1:14" ht="13" customHeight="1">
      <c r="C4" s="34" t="s">
        <v>30</v>
      </c>
      <c r="D4" s="34" t="s">
        <v>29</v>
      </c>
      <c r="E4" s="34" t="s">
        <v>206</v>
      </c>
      <c r="F4" s="34" t="s">
        <v>207</v>
      </c>
      <c r="G4" s="34" t="s">
        <v>208</v>
      </c>
      <c r="H4" s="34" t="s">
        <v>209</v>
      </c>
      <c r="I4" s="34" t="s">
        <v>210</v>
      </c>
      <c r="J4" s="34" t="s">
        <v>212</v>
      </c>
      <c r="K4" s="34" t="s">
        <v>213</v>
      </c>
      <c r="L4" s="34" t="s">
        <v>214</v>
      </c>
      <c r="M4" s="34" t="s">
        <v>215</v>
      </c>
      <c r="N4" s="71"/>
    </row>
    <row r="5" spans="1:14" ht="13" customHeight="1">
      <c r="C5" s="36"/>
    </row>
    <row r="6" spans="1:14" ht="13" customHeight="1" thickBot="1">
      <c r="A6" s="27" t="s">
        <v>14</v>
      </c>
      <c r="B6" s="29" t="s">
        <v>18</v>
      </c>
      <c r="C6" s="36"/>
      <c r="D6" s="31">
        <f>'10 Yr BTCF'!B22/'10 Yr BTCF'!B21</f>
        <v>0.50617283950617287</v>
      </c>
      <c r="E6" s="31">
        <f>'10 Yr BTCF'!C22/'10 Yr BTCF'!C21</f>
        <v>0.50139762403913346</v>
      </c>
      <c r="F6" s="31">
        <f>'10 Yr BTCF'!D22/'10 Yr BTCF'!D21</f>
        <v>0.48587033912733918</v>
      </c>
      <c r="G6" s="31">
        <f>'10 Yr BTCF'!E22/'10 Yr BTCF'!E21</f>
        <v>0.48128665668274156</v>
      </c>
      <c r="H6" s="31">
        <f>'10 Yr BTCF'!F22/'10 Yr BTCF'!F21</f>
        <v>0.47674621652535726</v>
      </c>
      <c r="I6" s="31">
        <f>'10 Yr BTCF'!G22/'10 Yr BTCF'!G21</f>
        <v>0.47224861070908025</v>
      </c>
      <c r="J6" s="31">
        <f>'10 Yr BTCF'!H22/'10 Yr BTCF'!H21</f>
        <v>0.46779343513635308</v>
      </c>
      <c r="K6" s="31">
        <f>'10 Yr BTCF'!I22/'10 Yr BTCF'!I21</f>
        <v>0.46338028952185917</v>
      </c>
      <c r="L6" s="31">
        <f>'10 Yr BTCF'!J22/'10 Yr BTCF'!J21</f>
        <v>0.45900877735655865</v>
      </c>
      <c r="M6" s="31">
        <f>'10 Yr BTCF'!K22/'10 Yr BTCF'!K21</f>
        <v>0.45467850587206277</v>
      </c>
    </row>
    <row r="7" spans="1:14" ht="13" customHeight="1">
      <c r="A7" s="27" t="s">
        <v>13</v>
      </c>
      <c r="B7" s="28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13" customHeight="1">
      <c r="B8" s="2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13" customHeight="1" thickBot="1">
      <c r="A9" s="27" t="s">
        <v>175</v>
      </c>
      <c r="B9" s="29" t="s">
        <v>20</v>
      </c>
      <c r="C9" s="35"/>
      <c r="D9" s="32">
        <f>'10 Yr BTCF'!B23/'10 Yr BTCF'!B24</f>
        <v>1.3625738128610767</v>
      </c>
      <c r="E9" s="32">
        <f>'10 Yr BTCF'!C23/'10 Yr BTCF'!C24</f>
        <v>1.4582946232145673</v>
      </c>
      <c r="F9" s="32">
        <f>'10 Yr BTCF'!D23/'10 Yr BTCF'!D24</f>
        <v>1.6293514583942403</v>
      </c>
      <c r="G9" s="32">
        <f>'10 Yr BTCF'!E23/'10 Yr BTCF'!E24</f>
        <v>1.7425104815918584</v>
      </c>
      <c r="H9" s="32">
        <f>'10 Yr BTCF'!F23/'10 Yr BTCF'!F24</f>
        <v>1.8632289429660309</v>
      </c>
      <c r="I9" s="32">
        <f>'10 Yr BTCF'!G23/'10 Yr BTCF'!G24</f>
        <v>1.9919989036465877</v>
      </c>
      <c r="J9" s="32">
        <f>'10 Yr BTCF'!H23/'10 Yr BTCF'!H24</f>
        <v>2.1293438731731071</v>
      </c>
      <c r="K9" s="32">
        <f>'10 Yr BTCF'!I23/'10 Yr BTCF'!I24</f>
        <v>2.2758207926366043</v>
      </c>
      <c r="L9" s="32">
        <f>'10 Yr BTCF'!J23/'10 Yr BTCF'!J24</f>
        <v>2.4320221416215664</v>
      </c>
      <c r="M9" s="32">
        <f>'10 Yr BTCF'!K23/'10 Yr BTCF'!K24</f>
        <v>2.5985781766169644</v>
      </c>
    </row>
    <row r="10" spans="1:14" ht="13" customHeight="1">
      <c r="A10" s="27" t="s">
        <v>173</v>
      </c>
      <c r="B10" s="28" t="s">
        <v>21</v>
      </c>
      <c r="C10" s="35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3" customHeight="1">
      <c r="B11" s="2"/>
      <c r="C11" s="36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4" ht="13" customHeight="1" thickBot="1">
      <c r="A12" s="27" t="s">
        <v>174</v>
      </c>
      <c r="B12" s="29" t="s">
        <v>20</v>
      </c>
      <c r="C12" s="35"/>
      <c r="D12" s="33">
        <f>'10 Yr BTCF'!B23/'10 Yr BTCF'!B21</f>
        <v>0.49382716049382713</v>
      </c>
      <c r="E12" s="33">
        <f>'10 Yr BTCF'!C23/'10 Yr BTCF'!C21</f>
        <v>0.49860237596086654</v>
      </c>
      <c r="F12" s="33">
        <f>'10 Yr BTCF'!D23/'10 Yr BTCF'!D21</f>
        <v>0.51412966087266088</v>
      </c>
      <c r="G12" s="33">
        <f>'10 Yr BTCF'!E23/'10 Yr BTCF'!E21</f>
        <v>0.51871334331725849</v>
      </c>
      <c r="H12" s="33">
        <f>'10 Yr BTCF'!F23/'10 Yr BTCF'!F21</f>
        <v>0.52325378347464269</v>
      </c>
      <c r="I12" s="33">
        <f>'10 Yr BTCF'!G23/'10 Yr BTCF'!G21</f>
        <v>0.5277513892909198</v>
      </c>
      <c r="J12" s="33">
        <f>'10 Yr BTCF'!H23/'10 Yr BTCF'!H21</f>
        <v>0.53220656486364692</v>
      </c>
      <c r="K12" s="33">
        <f>'10 Yr BTCF'!I23/'10 Yr BTCF'!I21</f>
        <v>0.53661971047814083</v>
      </c>
      <c r="L12" s="33">
        <f>'10 Yr BTCF'!J23/'10 Yr BTCF'!J21</f>
        <v>0.54099122264344135</v>
      </c>
      <c r="M12" s="33">
        <f>'10 Yr BTCF'!K23/'10 Yr BTCF'!K21</f>
        <v>0.54532149412793718</v>
      </c>
    </row>
    <row r="13" spans="1:14" ht="13" customHeight="1">
      <c r="A13" s="27" t="s">
        <v>173</v>
      </c>
      <c r="B13" s="28" t="s">
        <v>19</v>
      </c>
      <c r="C13" s="35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4" ht="13" customHeight="1">
      <c r="B14" s="2"/>
      <c r="C14" s="35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ht="13" customHeight="1" thickBot="1">
      <c r="A15" s="27" t="s">
        <v>297</v>
      </c>
      <c r="B15" s="29" t="s">
        <v>22</v>
      </c>
      <c r="C15" s="35"/>
      <c r="D15" s="33">
        <f>'10 Yr BTCF'!B25/'10 Yr BTCF'!$E$13</f>
        <v>8.8698268291672461E-2</v>
      </c>
      <c r="E15" s="33">
        <f>'10 Yr BTCF'!C25/'10 Yr BTCF'!$E$13</f>
        <v>0.11211493495833913</v>
      </c>
      <c r="F15" s="33">
        <f>'10 Yr BTCF'!D25/'10 Yr BTCF'!$E$13</f>
        <v>0.15396143495833911</v>
      </c>
      <c r="G15" s="33">
        <f>'10 Yr BTCF'!E25/'10 Yr BTCF'!$E$13</f>
        <v>0.18164409995833922</v>
      </c>
      <c r="H15" s="33">
        <f>'10 Yr BTCF'!F25/'10 Yr BTCF'!$E$13</f>
        <v>0.21117606860833912</v>
      </c>
      <c r="I15" s="33">
        <f>'10 Yr BTCF'!G25/'10 Yr BTCF'!$E$13</f>
        <v>0.24267771631483928</v>
      </c>
      <c r="J15" s="33">
        <f>'10 Yr BTCF'!H25/'10 Yr BTCF'!$E$13</f>
        <v>0.27627711186810427</v>
      </c>
      <c r="K15" s="33">
        <f>'10 Yr BTCF'!I25/'10 Yr BTCF'!$E$13</f>
        <v>0.31211050258815903</v>
      </c>
      <c r="L15" s="33">
        <f>'10 Yr BTCF'!J25/'10 Yr BTCF'!$E$13</f>
        <v>0.35032282975669038</v>
      </c>
      <c r="M15" s="33">
        <f>'10 Yr BTCF'!K25/'10 Yr BTCF'!$E$13</f>
        <v>0.39106827621087076</v>
      </c>
    </row>
    <row r="16" spans="1:14" ht="13" customHeight="1">
      <c r="A16" s="27" t="s">
        <v>298</v>
      </c>
      <c r="B16" s="28" t="s">
        <v>23</v>
      </c>
      <c r="C16" s="35"/>
      <c r="D16" s="37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13" customHeight="1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" customHeight="1" thickBot="1">
      <c r="A18" s="27" t="s">
        <v>142</v>
      </c>
      <c r="B18" s="29" t="s">
        <v>20</v>
      </c>
      <c r="C18" s="33">
        <f>'10 Yr BTCF'!B23/'10 Yr BTCF'!B6</f>
        <v>0.1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13" customHeight="1">
      <c r="A19" s="27" t="s">
        <v>296</v>
      </c>
      <c r="B19" s="28" t="s">
        <v>24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3" customHeight="1">
      <c r="B20" s="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3" customHeight="1" thickBot="1">
      <c r="A21" s="27" t="s">
        <v>15</v>
      </c>
      <c r="B21" s="29" t="s">
        <v>25</v>
      </c>
      <c r="C21" s="35"/>
      <c r="D21" s="33">
        <f>'10 Yr BTCF'!C23/'10 Yr BTCF'!B28</f>
        <v>0.11</v>
      </c>
      <c r="E21" s="33">
        <f>'10 Yr BTCF'!D23/'10 Yr BTCF'!C28</f>
        <v>0.11</v>
      </c>
      <c r="F21" s="33">
        <f>'10 Yr BTCF'!E23/'10 Yr BTCF'!D28</f>
        <v>0.10999999999999999</v>
      </c>
      <c r="G21" s="33">
        <f>'10 Yr BTCF'!F23/'10 Yr BTCF'!E28</f>
        <v>0.11000000000000001</v>
      </c>
      <c r="H21" s="33">
        <f>'10 Yr BTCF'!G23/'10 Yr BTCF'!F28</f>
        <v>0.11</v>
      </c>
      <c r="I21" s="33">
        <f>'10 Yr BTCF'!H23/'10 Yr BTCF'!G28</f>
        <v>0.11</v>
      </c>
      <c r="J21" s="33">
        <f>'10 Yr BTCF'!I23/'10 Yr BTCF'!H28</f>
        <v>0.11</v>
      </c>
      <c r="K21" s="33">
        <f>'10 Yr BTCF'!J23/'10 Yr BTCF'!I28</f>
        <v>0.11</v>
      </c>
      <c r="L21" s="33">
        <f>'10 Yr BTCF'!K23/'10 Yr BTCF'!J28</f>
        <v>0.11</v>
      </c>
      <c r="M21" s="33">
        <f>'10 Yr BTCF'!L23/'10 Yr BTCF'!K28</f>
        <v>0.11</v>
      </c>
    </row>
    <row r="22" spans="1:13" ht="13" customHeight="1">
      <c r="A22" s="27" t="s">
        <v>298</v>
      </c>
      <c r="B22" s="28" t="s">
        <v>26</v>
      </c>
      <c r="C22" s="3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3" customHeight="1">
      <c r="B23" s="2"/>
      <c r="C23" s="35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13" customHeight="1" thickBot="1">
      <c r="A24" s="27" t="s">
        <v>16</v>
      </c>
      <c r="B24" s="29" t="s">
        <v>27</v>
      </c>
      <c r="C24" s="35"/>
      <c r="D24" s="33">
        <f>('10 Yr BTCF'!B22+'10 Yr BTCF'!B24)/'10 Yr BTCF'!B21</f>
        <v>0.86859515808641119</v>
      </c>
      <c r="E24" s="231">
        <f>('10 Yr BTCF'!C22+'10 Yr BTCF'!C24)/'10 Yr BTCF'!C21</f>
        <v>0.84330547175633941</v>
      </c>
      <c r="F24" s="231">
        <f>('10 Yr BTCF'!D22+'10 Yr BTCF'!D24)/'10 Yr BTCF'!D21</f>
        <v>0.80141285650375982</v>
      </c>
      <c r="G24" s="231">
        <f>('10 Yr BTCF'!E22+'10 Yr BTCF'!E24)/'10 Yr BTCF'!E21</f>
        <v>0.77896827684917602</v>
      </c>
      <c r="H24" s="231">
        <f>('10 Yr BTCF'!F22+'10 Yr BTCF'!F24)/'10 Yr BTCF'!F21</f>
        <v>0.75757793366350301</v>
      </c>
      <c r="I24" s="231">
        <f>('10 Yr BTCF'!G22+'10 Yr BTCF'!G24)/'10 Yr BTCF'!G21</f>
        <v>0.73718419291487813</v>
      </c>
      <c r="J24" s="231">
        <f>('10 Yr BTCF'!H22+'10 Yr BTCF'!H24)/'10 Yr BTCF'!H21</f>
        <v>0.71773266363238875</v>
      </c>
      <c r="K24" s="231">
        <f>('10 Yr BTCF'!I22+'10 Yr BTCF'!I24)/'10 Yr BTCF'!I21</f>
        <v>0.69917201451811928</v>
      </c>
      <c r="L24" s="231">
        <f>('10 Yr BTCF'!J22+'10 Yr BTCF'!J24)/'10 Yr BTCF'!J21</f>
        <v>0.68145380093793617</v>
      </c>
      <c r="M24" s="231">
        <f>('10 Yr BTCF'!K22+'10 Yr BTCF'!K24)/'10 Yr BTCF'!K21</f>
        <v>0.66453230170355093</v>
      </c>
    </row>
    <row r="25" spans="1:13" ht="13" customHeight="1">
      <c r="B25" s="28" t="s">
        <v>19</v>
      </c>
      <c r="C25" s="35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ht="13" customHeight="1">
      <c r="B26" s="2"/>
      <c r="C26" s="35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13" customHeight="1" thickBot="1">
      <c r="A27" s="27" t="s">
        <v>17</v>
      </c>
      <c r="B27" s="29" t="s">
        <v>27</v>
      </c>
      <c r="C27" s="35"/>
      <c r="D27" s="33">
        <f>('10 Yr BTCF'!B22+'10 Yr BTCF'!B24)/'10 Yr BTCF'!B18</f>
        <v>0.78173564227777004</v>
      </c>
      <c r="E27" s="33">
        <f>('10 Yr BTCF'!C22+'10 Yr BTCF'!C24)/'10 Yr BTCF'!C18</f>
        <v>0.75897492458070548</v>
      </c>
      <c r="F27" s="33">
        <f>('10 Yr BTCF'!D22+'10 Yr BTCF'!D24)/'10 Yr BTCF'!D18</f>
        <v>0.73729982798345894</v>
      </c>
      <c r="G27" s="33">
        <f>('10 Yr BTCF'!E22+'10 Yr BTCF'!E24)/'10 Yr BTCF'!E18</f>
        <v>0.71665081470124203</v>
      </c>
      <c r="H27" s="33">
        <f>('10 Yr BTCF'!F22+'10 Yr BTCF'!F24)/'10 Yr BTCF'!F18</f>
        <v>0.69697169897042277</v>
      </c>
      <c r="I27" s="33">
        <f>('10 Yr BTCF'!G22+'10 Yr BTCF'!G24)/'10 Yr BTCF'!G18</f>
        <v>0.67820945748168793</v>
      </c>
      <c r="J27" s="33">
        <f>('10 Yr BTCF'!H22+'10 Yr BTCF'!H24)/'10 Yr BTCF'!H18</f>
        <v>0.6603140505417977</v>
      </c>
      <c r="K27" s="33">
        <f>('10 Yr BTCF'!I22+'10 Yr BTCF'!I24)/'10 Yr BTCF'!I18</f>
        <v>0.64323825335666973</v>
      </c>
      <c r="L27" s="33">
        <f>('10 Yr BTCF'!J22+'10 Yr BTCF'!J24)/'10 Yr BTCF'!J18</f>
        <v>0.62693749686290123</v>
      </c>
      <c r="M27" s="33">
        <f>('10 Yr BTCF'!K22+'10 Yr BTCF'!K24)/'10 Yr BTCF'!K18</f>
        <v>0.61136971756726688</v>
      </c>
    </row>
    <row r="28" spans="1:13" ht="13" customHeight="1">
      <c r="A28" s="27" t="s">
        <v>173</v>
      </c>
      <c r="B28" s="28" t="s">
        <v>28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4" spans="4:13" ht="13" customHeight="1" outlineLevel="1">
      <c r="D34" s="131" t="s">
        <v>33</v>
      </c>
      <c r="E34" s="131" t="s">
        <v>34</v>
      </c>
      <c r="F34" s="131" t="s">
        <v>35</v>
      </c>
      <c r="G34" s="131" t="s">
        <v>36</v>
      </c>
      <c r="H34" s="131" t="s">
        <v>37</v>
      </c>
      <c r="I34" s="131" t="s">
        <v>38</v>
      </c>
      <c r="J34" s="131" t="s">
        <v>39</v>
      </c>
      <c r="K34" s="131" t="s">
        <v>40</v>
      </c>
      <c r="L34" s="131" t="s">
        <v>41</v>
      </c>
      <c r="M34" s="131" t="s">
        <v>42</v>
      </c>
    </row>
    <row r="35" spans="4:13" ht="13" customHeight="1" outlineLevel="1">
      <c r="D35" s="146">
        <f>D6</f>
        <v>0.50617283950617287</v>
      </c>
      <c r="E35" s="146">
        <f t="shared" ref="E35:M35" si="0">E6</f>
        <v>0.50139762403913346</v>
      </c>
      <c r="F35" s="146">
        <f t="shared" si="0"/>
        <v>0.48587033912733918</v>
      </c>
      <c r="G35" s="146">
        <f t="shared" si="0"/>
        <v>0.48128665668274156</v>
      </c>
      <c r="H35" s="146">
        <f t="shared" si="0"/>
        <v>0.47674621652535726</v>
      </c>
      <c r="I35" s="146">
        <f t="shared" si="0"/>
        <v>0.47224861070908025</v>
      </c>
      <c r="J35" s="146">
        <f t="shared" si="0"/>
        <v>0.46779343513635308</v>
      </c>
      <c r="K35" s="146">
        <f t="shared" si="0"/>
        <v>0.46338028952185917</v>
      </c>
      <c r="L35" s="146">
        <f t="shared" si="0"/>
        <v>0.45900877735655865</v>
      </c>
      <c r="M35" s="146">
        <f t="shared" si="0"/>
        <v>0.45467850587206277</v>
      </c>
    </row>
    <row r="36" spans="4:13" ht="13" customHeight="1" outlineLevel="1"/>
    <row r="37" spans="4:13" ht="13" customHeight="1" outlineLevel="1"/>
    <row r="38" spans="4:13" ht="13" customHeight="1" outlineLevel="1"/>
    <row r="39" spans="4:13" ht="13" customHeight="1" outlineLevel="1"/>
    <row r="40" spans="4:13" ht="13" customHeight="1" outlineLevel="1"/>
    <row r="41" spans="4:13" ht="13" customHeight="1" outlineLevel="1"/>
    <row r="42" spans="4:13" ht="13" customHeight="1" outlineLevel="1"/>
    <row r="43" spans="4:13" ht="13" customHeight="1" outlineLevel="1"/>
    <row r="44" spans="4:13" ht="13" customHeight="1" outlineLevel="1"/>
    <row r="45" spans="4:13" ht="13" customHeight="1" outlineLevel="1"/>
    <row r="46" spans="4:13" ht="13" customHeight="1" outlineLevel="1"/>
    <row r="47" spans="4:13" ht="13" customHeight="1" outlineLevel="1"/>
    <row r="48" spans="4:13" ht="13" customHeight="1" outlineLevel="1"/>
    <row r="49" ht="13" customHeight="1" outlineLevel="1"/>
    <row r="50" ht="13" customHeight="1" outlineLevel="1"/>
    <row r="51" ht="13" customHeight="1" outlineLevel="1"/>
    <row r="52" ht="13" customHeight="1" outlineLevel="1"/>
    <row r="53" ht="13" customHeight="1" outlineLevel="1"/>
    <row r="54" ht="13" customHeight="1" outlineLevel="1"/>
    <row r="55" ht="13" customHeight="1" outlineLevel="1"/>
    <row r="56" ht="13" customHeight="1" outlineLevel="1"/>
    <row r="57" ht="13" customHeight="1" outlineLevel="1"/>
    <row r="58" ht="13" customHeight="1" outlineLevel="1"/>
    <row r="59" ht="13" customHeight="1" outlineLevel="1"/>
    <row r="60" ht="13" customHeight="1" outlineLevel="1"/>
    <row r="61" ht="13" customHeight="1" outlineLevel="1"/>
    <row r="62" ht="13" customHeight="1" outlineLevel="1"/>
    <row r="63" ht="13" customHeight="1" outlineLevel="1"/>
    <row r="64" ht="13" customHeight="1" outlineLevel="1"/>
    <row r="65" ht="13" customHeight="1" outlineLevel="1"/>
    <row r="66" ht="13" customHeight="1" outlineLevel="1"/>
  </sheetData>
  <mergeCells count="1">
    <mergeCell ref="A2:M2"/>
  </mergeCells>
  <phoneticPr fontId="14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28" workbookViewId="0">
      <selection activeCell="B25" sqref="B25"/>
    </sheetView>
  </sheetViews>
  <sheetFormatPr baseColWidth="10" defaultColWidth="11" defaultRowHeight="13" outlineLevelRow="2" x14ac:dyDescent="0"/>
  <cols>
    <col min="1" max="1" width="20.7109375" bestFit="1" customWidth="1"/>
    <col min="2" max="2" width="13.42578125" customWidth="1"/>
    <col min="3" max="3" width="11.5703125" customWidth="1"/>
    <col min="4" max="4" width="14.140625" bestFit="1" customWidth="1"/>
    <col min="5" max="5" width="11.85546875" bestFit="1" customWidth="1"/>
    <col min="6" max="11" width="11" bestFit="1" customWidth="1"/>
  </cols>
  <sheetData>
    <row r="1" spans="1:12" ht="14" thickBot="1"/>
    <row r="2" spans="1:12" ht="17" customHeight="1" thickBot="1">
      <c r="A2" s="259" t="s">
        <v>111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3" spans="1:12" ht="13" customHeight="1"/>
    <row r="4" spans="1:12" ht="13" customHeight="1"/>
    <row r="5" spans="1:12" ht="13" customHeight="1" thickBot="1">
      <c r="A5" s="273" t="s">
        <v>219</v>
      </c>
      <c r="B5" s="274"/>
      <c r="D5" s="275" t="s">
        <v>200</v>
      </c>
      <c r="E5" s="268"/>
      <c r="G5" s="273" t="s">
        <v>54</v>
      </c>
      <c r="H5" s="276"/>
    </row>
    <row r="6" spans="1:12" ht="13" customHeight="1">
      <c r="A6" t="s">
        <v>220</v>
      </c>
      <c r="B6" s="58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 ht="13" customHeight="1">
      <c r="A7" t="s">
        <v>271</v>
      </c>
      <c r="B7" s="60">
        <f>APOD!G5</f>
        <v>0.7</v>
      </c>
      <c r="D7" t="s">
        <v>202</v>
      </c>
      <c r="E7" s="59">
        <f>APOD!G15</f>
        <v>4.0999999999999996</v>
      </c>
      <c r="G7" s="1" t="s">
        <v>56</v>
      </c>
      <c r="H7" s="60">
        <f>APOD!G14</f>
        <v>0.11</v>
      </c>
    </row>
    <row r="8" spans="1:12" ht="13" customHeight="1">
      <c r="A8" t="s">
        <v>272</v>
      </c>
      <c r="B8" s="58">
        <f>APOD!G6</f>
        <v>840000</v>
      </c>
      <c r="D8" t="s">
        <v>203</v>
      </c>
      <c r="E8" s="68">
        <f>APOD!C16</f>
        <v>9</v>
      </c>
    </row>
    <row r="9" spans="1:12" ht="13" customHeight="1">
      <c r="A9" t="s">
        <v>273</v>
      </c>
      <c r="B9" s="61">
        <f>APOD!G7</f>
        <v>9.5000000000000001E-2</v>
      </c>
    </row>
    <row r="10" spans="1:12" ht="13" customHeight="1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 ht="13" customHeight="1">
      <c r="A11" t="s">
        <v>275</v>
      </c>
      <c r="B11" s="62">
        <f>APOD!G9</f>
        <v>25</v>
      </c>
      <c r="D11" t="s">
        <v>51</v>
      </c>
      <c r="E11" s="58">
        <f>B6</f>
        <v>1200000</v>
      </c>
      <c r="H11" s="60">
        <f>APOD!C8</f>
        <v>0.2</v>
      </c>
    </row>
    <row r="12" spans="1:12" ht="13" customHeight="1">
      <c r="A12" t="s">
        <v>276</v>
      </c>
      <c r="B12" s="62">
        <f>APOD!G10</f>
        <v>300</v>
      </c>
      <c r="D12" t="s">
        <v>52</v>
      </c>
      <c r="E12" s="58">
        <f>B8</f>
        <v>840000</v>
      </c>
    </row>
    <row r="13" spans="1:12" ht="13" customHeight="1">
      <c r="A13" t="s">
        <v>277</v>
      </c>
      <c r="B13" s="58">
        <f>APOD!G11</f>
        <v>7339.0519512498258</v>
      </c>
      <c r="D13" t="s">
        <v>53</v>
      </c>
      <c r="E13" s="58">
        <f>E11-E12</f>
        <v>360000</v>
      </c>
    </row>
    <row r="14" spans="1:12" ht="13" customHeight="1">
      <c r="A14" t="s">
        <v>278</v>
      </c>
      <c r="B14" s="58">
        <f>APOD!G12</f>
        <v>88068.623414997914</v>
      </c>
    </row>
    <row r="15" spans="1:12" ht="13" customHeight="1"/>
    <row r="16" spans="1:12" ht="13" customHeight="1">
      <c r="A16" s="15" t="s">
        <v>199</v>
      </c>
    </row>
    <row r="17" spans="1:12" ht="13" customHeight="1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  <c r="G17" s="70" t="s">
        <v>210</v>
      </c>
      <c r="H17" s="70" t="s">
        <v>212</v>
      </c>
      <c r="I17" s="70" t="s">
        <v>213</v>
      </c>
      <c r="J17" s="70" t="s">
        <v>214</v>
      </c>
      <c r="K17" s="70" t="s">
        <v>215</v>
      </c>
      <c r="L17" s="70" t="s">
        <v>216</v>
      </c>
    </row>
    <row r="18" spans="1:12" ht="13" customHeight="1">
      <c r="A18" s="16" t="s">
        <v>190</v>
      </c>
      <c r="B18" s="38">
        <f>APOD!D23</f>
        <v>270000</v>
      </c>
      <c r="C18" s="38">
        <f>IF(APOD!$G$17=0,'10 Yr BTCF'!B18*'Variable Rates'!C12,B18*(1+APOD!$G$17))</f>
        <v>286200</v>
      </c>
      <c r="D18" s="134">
        <f>IF(APOD!$G$17=0,'10 Yr BTCF'!C18*'Variable Rates'!D12,C18*(1+APOD!$G$17))</f>
        <v>303372</v>
      </c>
      <c r="E18" s="134">
        <f>IF(APOD!$G$17=0,'10 Yr BTCF'!D18*'Variable Rates'!E12,D18*(1+APOD!$G$17))</f>
        <v>321574.32</v>
      </c>
      <c r="F18" s="134">
        <f>IF(APOD!$G$17=0,'10 Yr BTCF'!E18*'Variable Rates'!F12,E18*(1+APOD!$G$17))</f>
        <v>340868.77920000005</v>
      </c>
      <c r="G18" s="134">
        <f>IF(APOD!$G$17=0,'10 Yr BTCF'!F18*'Variable Rates'!G12,F18*(1+APOD!$G$17))</f>
        <v>361320.90595200006</v>
      </c>
      <c r="H18" s="134">
        <f>IF(APOD!$G$17=0,'10 Yr BTCF'!G18*'Variable Rates'!H12,G18*(1+APOD!$G$17))</f>
        <v>383000.16030912008</v>
      </c>
      <c r="I18" s="134">
        <f>IF(APOD!$G$17=0,'10 Yr BTCF'!H18*'Variable Rates'!I12,H18*(1+APOD!$G$17))</f>
        <v>405980.1699276673</v>
      </c>
      <c r="J18" s="134">
        <f>IF(APOD!$G$17=0,'10 Yr BTCF'!I18*'Variable Rates'!J12,I18*(1+APOD!$G$17))</f>
        <v>430338.98012332735</v>
      </c>
      <c r="K18" s="134">
        <f>IF(APOD!$G$17=0,'10 Yr BTCF'!J18*'Variable Rates'!K12,J18*(1+APOD!$G$17))</f>
        <v>456159.31893072702</v>
      </c>
      <c r="L18" s="134">
        <f>IF(APOD!$G$17=0,'10 Yr BTCF'!K18*'Variable Rates'!L12,K18*(1+APOD!$G$17))</f>
        <v>483528.87806657067</v>
      </c>
    </row>
    <row r="19" spans="1:12" ht="13" customHeight="1">
      <c r="A19" s="16" t="s">
        <v>191</v>
      </c>
      <c r="B19" s="38">
        <f>APOD!D24</f>
        <v>27000</v>
      </c>
      <c r="C19" s="38">
        <f>IF(APOD!$C$17=0,'10 Yr BTCF'!C18*'Variable Rates'!C4,'10 Yr BTCF'!C18*APOD!$C$17)</f>
        <v>28620</v>
      </c>
      <c r="D19" s="134">
        <f>IF(APOD!$C$17=0,'10 Yr BTCF'!D18*'Variable Rates'!D4,'10 Yr BTCF'!D18*APOD!$C$17)</f>
        <v>24269.760000000002</v>
      </c>
      <c r="E19" s="134">
        <f>IF(APOD!$C$17=0,'10 Yr BTCF'!E18*'Variable Rates'!E4,'10 Yr BTCF'!E18*APOD!$C$17)</f>
        <v>25725.945600000003</v>
      </c>
      <c r="F19" s="134">
        <f>IF(APOD!$C$17=0,'10 Yr BTCF'!F18*'Variable Rates'!F4,'10 Yr BTCF'!F18*APOD!$C$17)</f>
        <v>27269.502336000005</v>
      </c>
      <c r="G19" s="134">
        <f>IF(APOD!$C$17=0,'10 Yr BTCF'!G18*'Variable Rates'!G4,'10 Yr BTCF'!G18*APOD!$C$17)</f>
        <v>28905.672476160005</v>
      </c>
      <c r="H19" s="134">
        <f>IF(APOD!$C$17=0,'10 Yr BTCF'!H18*'Variable Rates'!H4,'10 Yr BTCF'!H18*APOD!$C$17)</f>
        <v>30640.012824729609</v>
      </c>
      <c r="I19" s="134">
        <f>IF(APOD!$C$17=0,'10 Yr BTCF'!I18*'Variable Rates'!I4,'10 Yr BTCF'!I18*APOD!$C$17)</f>
        <v>32478.413594213383</v>
      </c>
      <c r="J19" s="134">
        <f>IF(APOD!$C$17=0,'10 Yr BTCF'!J18*'Variable Rates'!J4,'10 Yr BTCF'!J18*APOD!$C$17)</f>
        <v>34427.118409866191</v>
      </c>
      <c r="K19" s="134">
        <f>IF(APOD!$C$17=0,'10 Yr BTCF'!K18*'Variable Rates'!K4,'10 Yr BTCF'!K18*APOD!$C$17)</f>
        <v>36492.745514458162</v>
      </c>
      <c r="L19" s="134">
        <f>IF(APOD!$C$17=0,'10 Yr BTCF'!L18*'Variable Rates'!L4,'10 Yr BTCF'!L18*APOD!$C$17)</f>
        <v>38682.310245325658</v>
      </c>
    </row>
    <row r="20" spans="1:12" ht="13" customHeight="1">
      <c r="A20" s="16" t="s">
        <v>192</v>
      </c>
      <c r="B20" s="38">
        <f>APOD!$D$25</f>
        <v>0</v>
      </c>
      <c r="C20" s="134">
        <f>B20*(1+APOD!$G$18)</f>
        <v>0</v>
      </c>
      <c r="D20" s="134">
        <f>C20*(1+APOD!$G$18)</f>
        <v>0</v>
      </c>
      <c r="E20" s="134">
        <f>D20*(1+APOD!$G$18)</f>
        <v>0</v>
      </c>
      <c r="F20" s="134">
        <f>E20*(1+APOD!$G$18)</f>
        <v>0</v>
      </c>
      <c r="G20" s="134">
        <f>F20*(1+APOD!$G$18)</f>
        <v>0</v>
      </c>
      <c r="H20" s="134">
        <f>G20*(1+APOD!$G$18)</f>
        <v>0</v>
      </c>
      <c r="I20" s="134">
        <f>H20*(1+APOD!$G$18)</f>
        <v>0</v>
      </c>
      <c r="J20" s="134">
        <f>I20*(1+APOD!$G$18)</f>
        <v>0</v>
      </c>
      <c r="K20" s="134">
        <f>J20*(1+APOD!$G$18)</f>
        <v>0</v>
      </c>
      <c r="L20" s="134">
        <f>K20*(1+APOD!$G$18)</f>
        <v>0</v>
      </c>
    </row>
    <row r="21" spans="1:12" ht="13" customHeight="1">
      <c r="A21" s="16" t="s">
        <v>193</v>
      </c>
      <c r="B21" s="38">
        <f>B18-B19+B20</f>
        <v>243000</v>
      </c>
      <c r="C21" s="38">
        <f t="shared" ref="C21:L21" si="0">C18-C19+C20</f>
        <v>257580</v>
      </c>
      <c r="D21" s="38">
        <f t="shared" si="0"/>
        <v>279102.24</v>
      </c>
      <c r="E21" s="38">
        <f t="shared" si="0"/>
        <v>295848.37440000003</v>
      </c>
      <c r="F21" s="38">
        <f t="shared" si="0"/>
        <v>313599.27686400001</v>
      </c>
      <c r="G21" s="38">
        <f t="shared" si="0"/>
        <v>332415.23347584007</v>
      </c>
      <c r="H21" s="38">
        <f t="shared" si="0"/>
        <v>352360.14748439047</v>
      </c>
      <c r="I21" s="38">
        <f t="shared" si="0"/>
        <v>373501.75633345393</v>
      </c>
      <c r="J21" s="38">
        <f t="shared" si="0"/>
        <v>395911.86171346117</v>
      </c>
      <c r="K21" s="38">
        <f t="shared" si="0"/>
        <v>419666.57341626886</v>
      </c>
      <c r="L21" s="38">
        <f t="shared" si="0"/>
        <v>444846.567821245</v>
      </c>
    </row>
    <row r="22" spans="1:12" ht="13" customHeight="1" thickBot="1">
      <c r="A22" s="72" t="s">
        <v>194</v>
      </c>
      <c r="B22" s="73">
        <f>APOD!D47</f>
        <v>123000</v>
      </c>
      <c r="C22" s="73">
        <f>IF(APOD!$G$16=0,'10 Yr BTCF'!B22*'Variable Rates'!C8,B22*(1+APOD!$G$16))</f>
        <v>129150</v>
      </c>
      <c r="D22" s="121">
        <f>IF(APOD!$G$16=0,'10 Yr BTCF'!C22*'Variable Rates'!D8,C22*(1+APOD!$G$16))</f>
        <v>135607.5</v>
      </c>
      <c r="E22" s="121">
        <f>IF(APOD!$G$16=0,'10 Yr BTCF'!D22*'Variable Rates'!E8,D22*(1+APOD!$G$16))</f>
        <v>142387.875</v>
      </c>
      <c r="F22" s="121">
        <f>IF(APOD!$G$16=0,'10 Yr BTCF'!E22*'Variable Rates'!F8,E22*(1+APOD!$G$16))</f>
        <v>149507.26875000002</v>
      </c>
      <c r="G22" s="121">
        <f>IF(APOD!$G$16=0,'10 Yr BTCF'!F22*'Variable Rates'!G8,F22*(1+APOD!$G$16))</f>
        <v>156982.63218750001</v>
      </c>
      <c r="H22" s="121">
        <f>IF(APOD!$G$16=0,'10 Yr BTCF'!G22*'Variable Rates'!H8,G22*(1+APOD!$G$16))</f>
        <v>164831.76379687502</v>
      </c>
      <c r="I22" s="121">
        <f>IF(APOD!$G$16=0,'10 Yr BTCF'!H22*'Variable Rates'!I8,H22*(1+APOD!$G$16))</f>
        <v>173073.35198671877</v>
      </c>
      <c r="J22" s="121">
        <f>IF(APOD!$G$16=0,'10 Yr BTCF'!I22*'Variable Rates'!J8,I22*(1+APOD!$G$16))</f>
        <v>181727.01958605472</v>
      </c>
      <c r="K22" s="121">
        <f>IF(APOD!$G$16=0,'10 Yr BTCF'!J22*'Variable Rates'!K8,J22*(1+APOD!$G$16))</f>
        <v>190813.37056535747</v>
      </c>
      <c r="L22" s="121">
        <f>IF(APOD!$G$16=0,'10 Yr BTCF'!K22*'Variable Rates'!L8,K22*(1+APOD!$G$16))</f>
        <v>200354.03909362535</v>
      </c>
    </row>
    <row r="23" spans="1:12" ht="13" customHeight="1" thickBot="1">
      <c r="A23" s="16" t="s">
        <v>195</v>
      </c>
      <c r="B23" s="38">
        <f>B21-B22</f>
        <v>120000</v>
      </c>
      <c r="C23" s="38">
        <f t="shared" ref="C23:L23" si="1">C21-C22</f>
        <v>128430</v>
      </c>
      <c r="D23" s="38">
        <f t="shared" si="1"/>
        <v>143494.74</v>
      </c>
      <c r="E23" s="38">
        <f t="shared" si="1"/>
        <v>153460.49940000003</v>
      </c>
      <c r="F23" s="38">
        <f t="shared" si="1"/>
        <v>164092.008114</v>
      </c>
      <c r="G23" s="38">
        <f t="shared" si="1"/>
        <v>175432.60128834005</v>
      </c>
      <c r="H23" s="38">
        <f t="shared" si="1"/>
        <v>187528.38368751545</v>
      </c>
      <c r="I23" s="38">
        <f t="shared" si="1"/>
        <v>200428.40434673516</v>
      </c>
      <c r="J23" s="38">
        <f t="shared" si="1"/>
        <v>214184.84212740645</v>
      </c>
      <c r="K23" s="38">
        <f t="shared" si="1"/>
        <v>228853.20285091139</v>
      </c>
      <c r="L23" s="39">
        <f t="shared" si="1"/>
        <v>244492.52872761965</v>
      </c>
    </row>
    <row r="24" spans="1:12" ht="13" customHeight="1" thickTop="1" thickBot="1">
      <c r="A24" s="72" t="s">
        <v>196</v>
      </c>
      <c r="B24" s="73">
        <f>$B$14</f>
        <v>88068.623414997914</v>
      </c>
      <c r="C24" s="73">
        <f t="shared" ref="C24:K24" si="2">$B$14</f>
        <v>88068.623414997914</v>
      </c>
      <c r="D24" s="73">
        <f t="shared" si="2"/>
        <v>88068.623414997914</v>
      </c>
      <c r="E24" s="73">
        <f t="shared" si="2"/>
        <v>88068.623414997914</v>
      </c>
      <c r="F24" s="73">
        <f t="shared" si="2"/>
        <v>88068.623414997914</v>
      </c>
      <c r="G24" s="73">
        <f t="shared" si="2"/>
        <v>88068.623414997914</v>
      </c>
      <c r="H24" s="73">
        <f t="shared" si="2"/>
        <v>88068.623414997914</v>
      </c>
      <c r="I24" s="73">
        <f t="shared" si="2"/>
        <v>88068.623414997914</v>
      </c>
      <c r="J24" s="73">
        <f t="shared" si="2"/>
        <v>88068.623414997914</v>
      </c>
      <c r="K24" s="73">
        <f t="shared" si="2"/>
        <v>88068.623414997914</v>
      </c>
      <c r="L24" s="74"/>
    </row>
    <row r="25" spans="1:12" ht="13" customHeight="1" thickBot="1">
      <c r="A25" s="16" t="s">
        <v>197</v>
      </c>
      <c r="B25" s="39">
        <f>B23-B24</f>
        <v>31931.376585002086</v>
      </c>
      <c r="C25" s="39">
        <f t="shared" ref="C25:K25" si="3">C23-C24</f>
        <v>40361.376585002086</v>
      </c>
      <c r="D25" s="39">
        <f t="shared" si="3"/>
        <v>55426.116585002077</v>
      </c>
      <c r="E25" s="39">
        <f t="shared" si="3"/>
        <v>65391.875985002116</v>
      </c>
      <c r="F25" s="39">
        <f t="shared" si="3"/>
        <v>76023.384699002083</v>
      </c>
      <c r="G25" s="39">
        <f t="shared" si="3"/>
        <v>87363.977873342141</v>
      </c>
      <c r="H25" s="39">
        <f t="shared" si="3"/>
        <v>99459.760272517538</v>
      </c>
      <c r="I25" s="39">
        <f t="shared" si="3"/>
        <v>112359.78093173724</v>
      </c>
      <c r="J25" s="39">
        <f t="shared" si="3"/>
        <v>126116.21871240853</v>
      </c>
      <c r="K25" s="39">
        <f t="shared" si="3"/>
        <v>140784.57943591347</v>
      </c>
      <c r="L25" s="40"/>
    </row>
    <row r="26" spans="1:12" ht="13" customHeight="1" thickTop="1"/>
    <row r="27" spans="1:12" ht="13" customHeight="1"/>
    <row r="28" spans="1:12" ht="13" customHeight="1">
      <c r="A28" s="16" t="s">
        <v>198</v>
      </c>
      <c r="B28" s="38">
        <f>C23/$H$7</f>
        <v>1167545.4545454546</v>
      </c>
      <c r="C28" s="38">
        <f t="shared" ref="C28:K28" si="4">D23/$H$7</f>
        <v>1304497.6363636362</v>
      </c>
      <c r="D28" s="38">
        <f t="shared" si="4"/>
        <v>1395095.4490909094</v>
      </c>
      <c r="E28" s="38">
        <f t="shared" si="4"/>
        <v>1491745.5283090908</v>
      </c>
      <c r="F28" s="38">
        <f t="shared" si="4"/>
        <v>1594841.8298940004</v>
      </c>
      <c r="G28" s="38">
        <f t="shared" si="4"/>
        <v>1704803.4880683222</v>
      </c>
      <c r="H28" s="38">
        <f t="shared" si="4"/>
        <v>1822076.4031521378</v>
      </c>
      <c r="I28" s="38">
        <f t="shared" si="4"/>
        <v>1947134.9284309677</v>
      </c>
      <c r="J28" s="38">
        <f t="shared" si="4"/>
        <v>2080483.6622810126</v>
      </c>
      <c r="K28" s="38">
        <f t="shared" si="4"/>
        <v>2222659.3520692694</v>
      </c>
    </row>
    <row r="29" spans="1:12" ht="13" customHeight="1">
      <c r="A29" s="16" t="s">
        <v>60</v>
      </c>
      <c r="B29" s="38">
        <f>B28*APOD!$G$19</f>
        <v>93403.636363636368</v>
      </c>
      <c r="C29" s="38">
        <f>C28*APOD!$G$19</f>
        <v>104359.8109090909</v>
      </c>
      <c r="D29" s="38">
        <f>D28*APOD!$G$19</f>
        <v>111607.63592727276</v>
      </c>
      <c r="E29" s="38">
        <f>E28*APOD!$G$19</f>
        <v>119339.64226472727</v>
      </c>
      <c r="F29" s="38">
        <f>F28*APOD!$G$19</f>
        <v>127587.34639152004</v>
      </c>
      <c r="G29" s="38">
        <f>G28*APOD!$G$19</f>
        <v>136384.27904546578</v>
      </c>
      <c r="H29" s="38">
        <f>H28*APOD!$G$19</f>
        <v>145766.11225217103</v>
      </c>
      <c r="I29" s="38">
        <f>I28*APOD!$G$19</f>
        <v>155770.79427447743</v>
      </c>
      <c r="J29" s="38">
        <f>J28*APOD!$G$19</f>
        <v>166438.69298248101</v>
      </c>
      <c r="K29" s="38">
        <f>K28*APOD!$G$19</f>
        <v>177812.74816554156</v>
      </c>
    </row>
    <row r="30" spans="1:12" ht="13" customHeight="1" thickBot="1">
      <c r="A30" s="16" t="s">
        <v>114</v>
      </c>
      <c r="B30" s="38">
        <f>PV($B$9/12,B33,-$B$13)</f>
        <v>831361.67476195295</v>
      </c>
      <c r="C30" s="38">
        <f t="shared" ref="C30:K30" si="5">PV($B$9/12,C33,-$B$13)</f>
        <v>821866.01661352674</v>
      </c>
      <c r="D30" s="38">
        <f t="shared" si="5"/>
        <v>811427.93733461003</v>
      </c>
      <c r="E30" s="38">
        <f t="shared" si="5"/>
        <v>799953.90390481486</v>
      </c>
      <c r="F30" s="38">
        <f t="shared" si="5"/>
        <v>787341.10037744767</v>
      </c>
      <c r="G30" s="38">
        <f t="shared" si="5"/>
        <v>773476.50657150079</v>
      </c>
      <c r="H30" s="38">
        <f t="shared" si="5"/>
        <v>758235.88532604929</v>
      </c>
      <c r="I30" s="38">
        <f t="shared" si="5"/>
        <v>741482.66924209322</v>
      </c>
      <c r="J30" s="38">
        <f t="shared" si="5"/>
        <v>723066.73693621729</v>
      </c>
      <c r="K30" s="38">
        <f t="shared" si="5"/>
        <v>702823.06784038374</v>
      </c>
    </row>
    <row r="31" spans="1:12" ht="13" customHeight="1">
      <c r="A31" s="20" t="s">
        <v>115</v>
      </c>
      <c r="B31" s="41">
        <f>B28-B29-B30</f>
        <v>242780.14341986517</v>
      </c>
      <c r="C31" s="41">
        <f t="shared" ref="C31:K31" si="6">C28-C29-C30</f>
        <v>378271.8088410187</v>
      </c>
      <c r="D31" s="41">
        <f t="shared" si="6"/>
        <v>472059.87582902669</v>
      </c>
      <c r="E31" s="41">
        <f t="shared" si="6"/>
        <v>572451.98213954864</v>
      </c>
      <c r="F31" s="41">
        <f t="shared" si="6"/>
        <v>679913.38312503276</v>
      </c>
      <c r="G31" s="41">
        <f t="shared" si="6"/>
        <v>794942.70245135552</v>
      </c>
      <c r="H31" s="41">
        <f t="shared" si="6"/>
        <v>918074.40557391755</v>
      </c>
      <c r="I31" s="41">
        <f t="shared" si="6"/>
        <v>1049881.4649143969</v>
      </c>
      <c r="J31" s="41">
        <f t="shared" si="6"/>
        <v>1190978.2323623141</v>
      </c>
      <c r="K31" s="41">
        <f t="shared" si="6"/>
        <v>1342023.5360633442</v>
      </c>
    </row>
    <row r="32" spans="1:12" ht="13" customHeight="1" outlineLevel="1"/>
    <row r="33" spans="1:12" ht="13" customHeight="1" outlineLevel="1">
      <c r="A33" s="22" t="s">
        <v>116</v>
      </c>
      <c r="B33" s="23">
        <v>288</v>
      </c>
      <c r="C33" s="23">
        <f>B33-12</f>
        <v>276</v>
      </c>
      <c r="D33" s="23">
        <f t="shared" ref="D33:K33" si="7">C33-12</f>
        <v>264</v>
      </c>
      <c r="E33" s="23">
        <f t="shared" si="7"/>
        <v>252</v>
      </c>
      <c r="F33" s="23">
        <f t="shared" si="7"/>
        <v>240</v>
      </c>
      <c r="G33" s="23">
        <f t="shared" si="7"/>
        <v>228</v>
      </c>
      <c r="H33" s="23">
        <f t="shared" si="7"/>
        <v>216</v>
      </c>
      <c r="I33" s="23">
        <f t="shared" si="7"/>
        <v>204</v>
      </c>
      <c r="J33" s="23">
        <f t="shared" si="7"/>
        <v>192</v>
      </c>
      <c r="K33" s="23">
        <f t="shared" si="7"/>
        <v>180</v>
      </c>
    </row>
    <row r="34" spans="1:12" ht="13" customHeight="1" outlineLevel="1">
      <c r="A34" s="22" t="s">
        <v>117</v>
      </c>
      <c r="B34" s="102">
        <f>B8-B30</f>
        <v>8638.3252380470512</v>
      </c>
      <c r="C34" s="102">
        <f>B30-C30</f>
        <v>9495.6581484262133</v>
      </c>
      <c r="D34" s="102">
        <f t="shared" ref="D34:K34" si="8">C30-D30</f>
        <v>10438.079278916703</v>
      </c>
      <c r="E34" s="102">
        <f t="shared" si="8"/>
        <v>11474.033429795178</v>
      </c>
      <c r="F34" s="102">
        <f t="shared" si="8"/>
        <v>12612.803527367185</v>
      </c>
      <c r="G34" s="102">
        <f t="shared" si="8"/>
        <v>13864.593805946875</v>
      </c>
      <c r="H34" s="102">
        <f t="shared" si="8"/>
        <v>15240.621245451504</v>
      </c>
      <c r="I34" s="102">
        <f t="shared" si="8"/>
        <v>16753.216083956067</v>
      </c>
      <c r="J34" s="102">
        <f t="shared" si="8"/>
        <v>18415.932305875933</v>
      </c>
      <c r="K34" s="102">
        <f t="shared" si="8"/>
        <v>20243.669095833553</v>
      </c>
      <c r="L34" s="159"/>
    </row>
    <row r="35" spans="1:12" ht="13" customHeight="1"/>
    <row r="36" spans="1:12" ht="13" customHeight="1">
      <c r="A36" s="16" t="s">
        <v>118</v>
      </c>
    </row>
    <row r="37" spans="1:12" ht="13" customHeight="1">
      <c r="A37" s="98" t="s">
        <v>119</v>
      </c>
      <c r="B37" s="98" t="s">
        <v>120</v>
      </c>
      <c r="C37" s="98" t="s">
        <v>121</v>
      </c>
      <c r="D37" s="98" t="s">
        <v>122</v>
      </c>
      <c r="E37" s="98" t="s">
        <v>97</v>
      </c>
      <c r="F37" s="98" t="s">
        <v>98</v>
      </c>
      <c r="G37" s="98" t="s">
        <v>99</v>
      </c>
      <c r="H37" s="98" t="s">
        <v>100</v>
      </c>
      <c r="I37" s="98" t="s">
        <v>101</v>
      </c>
      <c r="J37" s="98" t="s">
        <v>102</v>
      </c>
      <c r="K37" s="98" t="s">
        <v>103</v>
      </c>
    </row>
    <row r="38" spans="1:12" ht="13" customHeight="1">
      <c r="A38" s="38">
        <f>-E13</f>
        <v>-360000</v>
      </c>
      <c r="B38" s="38">
        <f>B25</f>
        <v>31931.376585002086</v>
      </c>
      <c r="C38" s="38">
        <f t="shared" ref="C38:K38" si="9">C25</f>
        <v>40361.376585002086</v>
      </c>
      <c r="D38" s="38">
        <f t="shared" si="9"/>
        <v>55426.116585002077</v>
      </c>
      <c r="E38" s="38">
        <f t="shared" si="9"/>
        <v>65391.875985002116</v>
      </c>
      <c r="F38" s="38">
        <f t="shared" si="9"/>
        <v>76023.384699002083</v>
      </c>
      <c r="G38" s="38">
        <f t="shared" si="9"/>
        <v>87363.977873342141</v>
      </c>
      <c r="H38" s="38">
        <f t="shared" si="9"/>
        <v>99459.760272517538</v>
      </c>
      <c r="I38" s="38">
        <f t="shared" si="9"/>
        <v>112359.78093173724</v>
      </c>
      <c r="J38" s="38">
        <f t="shared" si="9"/>
        <v>126116.21871240853</v>
      </c>
      <c r="K38" s="38">
        <f t="shared" si="9"/>
        <v>140784.57943591347</v>
      </c>
    </row>
    <row r="39" spans="1:12" ht="13" customHeight="1">
      <c r="A39" s="24" t="s">
        <v>106</v>
      </c>
      <c r="B39" s="38">
        <f>B31</f>
        <v>242780.14341986517</v>
      </c>
      <c r="C39" s="38">
        <f t="shared" ref="C39:K39" si="10">C31</f>
        <v>378271.8088410187</v>
      </c>
      <c r="D39" s="38">
        <f t="shared" si="10"/>
        <v>472059.87582902669</v>
      </c>
      <c r="E39" s="38">
        <f t="shared" si="10"/>
        <v>572451.98213954864</v>
      </c>
      <c r="F39" s="38">
        <f t="shared" si="10"/>
        <v>679913.38312503276</v>
      </c>
      <c r="G39" s="38">
        <f t="shared" si="10"/>
        <v>794942.70245135552</v>
      </c>
      <c r="H39" s="38">
        <f t="shared" si="10"/>
        <v>918074.40557391755</v>
      </c>
      <c r="I39" s="38">
        <f t="shared" si="10"/>
        <v>1049881.4649143969</v>
      </c>
      <c r="J39" s="38">
        <f t="shared" si="10"/>
        <v>1190978.2323623141</v>
      </c>
      <c r="K39" s="38">
        <f t="shared" si="10"/>
        <v>1342023.5360633442</v>
      </c>
    </row>
    <row r="40" spans="1:12" ht="13" customHeight="1">
      <c r="A40" s="24" t="s">
        <v>105</v>
      </c>
      <c r="B40" s="38">
        <f>B38+B39</f>
        <v>274711.52000486723</v>
      </c>
      <c r="C40" s="38">
        <f t="shared" ref="C40:K40" si="11">C38+C39</f>
        <v>418633.18542602076</v>
      </c>
      <c r="D40" s="38">
        <f t="shared" si="11"/>
        <v>527485.99241402873</v>
      </c>
      <c r="E40" s="38">
        <f t="shared" si="11"/>
        <v>637843.85812455078</v>
      </c>
      <c r="F40" s="38">
        <f t="shared" si="11"/>
        <v>755936.76782403491</v>
      </c>
      <c r="G40" s="38">
        <f t="shared" si="11"/>
        <v>882306.68032469763</v>
      </c>
      <c r="H40" s="38">
        <f t="shared" si="11"/>
        <v>1017534.1658464351</v>
      </c>
      <c r="I40" s="38">
        <f t="shared" si="11"/>
        <v>1162241.2458461341</v>
      </c>
      <c r="J40" s="38">
        <f t="shared" si="11"/>
        <v>1317094.4510747227</v>
      </c>
      <c r="K40" s="38">
        <f t="shared" si="11"/>
        <v>1482808.1154992576</v>
      </c>
    </row>
    <row r="41" spans="1:12" ht="13" customHeight="1">
      <c r="A41" s="17" t="s">
        <v>104</v>
      </c>
      <c r="B41" s="42">
        <f>IRR(B47:B48)</f>
        <v>-0.23691244443092441</v>
      </c>
      <c r="C41" s="42">
        <f>IRR(C47:C49)</f>
        <v>0.12362519022055962</v>
      </c>
      <c r="D41" s="42">
        <f>IRR(D47:D50)</f>
        <v>0.19987540494327205</v>
      </c>
      <c r="E41" s="42">
        <f>IRR(E47:E51)</f>
        <v>0.23105268518041133</v>
      </c>
      <c r="F41" s="42">
        <f>IRR(F47:F52)</f>
        <v>0.24527989933586536</v>
      </c>
      <c r="G41" s="42">
        <f>IRR(G47:G53)</f>
        <v>0.25193314662123667</v>
      </c>
      <c r="H41" s="42">
        <f>IRR(H47:H54)</f>
        <v>0.25484791804607299</v>
      </c>
      <c r="I41" s="42">
        <f>IRR(I47:I55)</f>
        <v>0.25580682950849809</v>
      </c>
      <c r="J41" s="42">
        <f>IRR(J47:J56)</f>
        <v>0.25571307426740519</v>
      </c>
      <c r="K41" s="43">
        <f>IRR(K47:K57)</f>
        <v>0.25505284350098201</v>
      </c>
    </row>
    <row r="42" spans="1:12" ht="13" customHeight="1">
      <c r="A42" s="25" t="s">
        <v>107</v>
      </c>
      <c r="B42" s="44">
        <f>NPV(H11,B48)</f>
        <v>228926.26667072269</v>
      </c>
      <c r="C42" s="44">
        <f>NPV(H11,C48:C49)</f>
        <v>317326.9703666828</v>
      </c>
      <c r="D42" s="44">
        <f>NPV(H11,D48:D50)</f>
        <v>359896.31168890873</v>
      </c>
      <c r="E42" s="44">
        <f>NPV(H11,E48:E51)</f>
        <v>394315.68241118826</v>
      </c>
      <c r="F42" s="44">
        <f>NPV(H11,F48:F52)</f>
        <v>422042.9800483798</v>
      </c>
      <c r="G42" s="44">
        <f>NPV(H11,G48:G53)</f>
        <v>444283.7625089215</v>
      </c>
      <c r="H42" s="44">
        <f>NPV(H11,H48:H54)</f>
        <v>462034.17100207059</v>
      </c>
      <c r="I42" s="44">
        <f>NPV(H11,I48:I55)</f>
        <v>476116.62142280501</v>
      </c>
      <c r="J42" s="44">
        <f>NPV(H11,J48:J56)</f>
        <v>487209.47601597797</v>
      </c>
      <c r="K42" s="44">
        <f>NPV(H11,K48:K57)</f>
        <v>495871.70467132685</v>
      </c>
    </row>
    <row r="43" spans="1:12" ht="13" customHeight="1">
      <c r="A43" s="25" t="s">
        <v>108</v>
      </c>
      <c r="B43" s="44">
        <f>B42+$A$38</f>
        <v>-131073.73332927731</v>
      </c>
      <c r="C43" s="44">
        <f t="shared" ref="C43:K43" si="12">C42+$A$38</f>
        <v>-42673.029633317201</v>
      </c>
      <c r="D43" s="44">
        <f t="shared" si="12"/>
        <v>-103.68831109127495</v>
      </c>
      <c r="E43" s="44">
        <f t="shared" si="12"/>
        <v>34315.68241118826</v>
      </c>
      <c r="F43" s="44">
        <f t="shared" si="12"/>
        <v>62042.980048379803</v>
      </c>
      <c r="G43" s="44">
        <f t="shared" si="12"/>
        <v>84283.7625089215</v>
      </c>
      <c r="H43" s="44">
        <f t="shared" si="12"/>
        <v>102034.17100207059</v>
      </c>
      <c r="I43" s="44">
        <f t="shared" si="12"/>
        <v>116116.62142280501</v>
      </c>
      <c r="J43" s="44">
        <f t="shared" si="12"/>
        <v>127209.47601597797</v>
      </c>
      <c r="K43" s="44">
        <f t="shared" si="12"/>
        <v>135871.70467132685</v>
      </c>
    </row>
    <row r="44" spans="1:12" ht="13" customHeight="1"/>
    <row r="45" spans="1:12" ht="13" customHeight="1" outlineLevel="1">
      <c r="A45" s="23" t="s">
        <v>314</v>
      </c>
      <c r="B45" s="23" t="s">
        <v>176</v>
      </c>
      <c r="C45" s="23" t="s">
        <v>157</v>
      </c>
      <c r="D45" s="23" t="s">
        <v>158</v>
      </c>
      <c r="E45" s="23" t="s">
        <v>159</v>
      </c>
      <c r="F45" s="23" t="s">
        <v>160</v>
      </c>
      <c r="G45" s="23" t="s">
        <v>161</v>
      </c>
      <c r="H45" s="23" t="s">
        <v>162</v>
      </c>
      <c r="I45" s="23" t="s">
        <v>163</v>
      </c>
      <c r="J45" s="23" t="s">
        <v>164</v>
      </c>
      <c r="K45" s="23" t="s">
        <v>313</v>
      </c>
    </row>
    <row r="46" spans="1:12" ht="13" customHeight="1" outlineLevel="1">
      <c r="A46" s="23"/>
    </row>
    <row r="47" spans="1:12" ht="13" customHeight="1" outlineLevel="1">
      <c r="A47" s="23" t="s">
        <v>315</v>
      </c>
      <c r="B47" s="38">
        <f>$A$38</f>
        <v>-360000</v>
      </c>
      <c r="C47" s="45">
        <f t="shared" ref="C47:K47" si="13">$A$38</f>
        <v>-360000</v>
      </c>
      <c r="D47" s="38">
        <f t="shared" si="13"/>
        <v>-360000</v>
      </c>
      <c r="E47" s="38">
        <f t="shared" si="13"/>
        <v>-360000</v>
      </c>
      <c r="F47" s="38">
        <f t="shared" si="13"/>
        <v>-360000</v>
      </c>
      <c r="G47" s="38">
        <f t="shared" si="13"/>
        <v>-360000</v>
      </c>
      <c r="H47" s="38">
        <f t="shared" si="13"/>
        <v>-360000</v>
      </c>
      <c r="I47" s="38">
        <f t="shared" si="13"/>
        <v>-360000</v>
      </c>
      <c r="J47" s="38">
        <f t="shared" si="13"/>
        <v>-360000</v>
      </c>
      <c r="K47" s="38">
        <f t="shared" si="13"/>
        <v>-360000</v>
      </c>
    </row>
    <row r="48" spans="1:12" ht="13" customHeight="1" outlineLevel="1">
      <c r="A48" s="23" t="s">
        <v>120</v>
      </c>
      <c r="B48" s="38">
        <f>B40</f>
        <v>274711.52000486723</v>
      </c>
      <c r="C48" s="45">
        <f>$B$25</f>
        <v>31931.376585002086</v>
      </c>
      <c r="D48" s="38">
        <f t="shared" ref="D48:K48" si="14">$B$25</f>
        <v>31931.376585002086</v>
      </c>
      <c r="E48" s="38">
        <f t="shared" si="14"/>
        <v>31931.376585002086</v>
      </c>
      <c r="F48" s="38">
        <f t="shared" si="14"/>
        <v>31931.376585002086</v>
      </c>
      <c r="G48" s="38">
        <f t="shared" si="14"/>
        <v>31931.376585002086</v>
      </c>
      <c r="H48" s="38">
        <f t="shared" si="14"/>
        <v>31931.376585002086</v>
      </c>
      <c r="I48" s="38">
        <f t="shared" si="14"/>
        <v>31931.376585002086</v>
      </c>
      <c r="J48" s="38">
        <f t="shared" si="14"/>
        <v>31931.376585002086</v>
      </c>
      <c r="K48" s="38">
        <f t="shared" si="14"/>
        <v>31931.376585002086</v>
      </c>
    </row>
    <row r="49" spans="1:11" ht="13" customHeight="1" outlineLevel="1">
      <c r="A49" s="23" t="s">
        <v>121</v>
      </c>
      <c r="C49" s="45">
        <f>C40</f>
        <v>418633.18542602076</v>
      </c>
      <c r="D49" s="38">
        <f>$C$25</f>
        <v>40361.376585002086</v>
      </c>
      <c r="E49" s="38">
        <f t="shared" ref="E49:K49" si="15">$C$25</f>
        <v>40361.376585002086</v>
      </c>
      <c r="F49" s="38">
        <f t="shared" si="15"/>
        <v>40361.376585002086</v>
      </c>
      <c r="G49" s="38">
        <f t="shared" si="15"/>
        <v>40361.376585002086</v>
      </c>
      <c r="H49" s="38">
        <f t="shared" si="15"/>
        <v>40361.376585002086</v>
      </c>
      <c r="I49" s="38">
        <f t="shared" si="15"/>
        <v>40361.376585002086</v>
      </c>
      <c r="J49" s="38">
        <f t="shared" si="15"/>
        <v>40361.376585002086</v>
      </c>
      <c r="K49" s="38">
        <f t="shared" si="15"/>
        <v>40361.376585002086</v>
      </c>
    </row>
    <row r="50" spans="1:11" ht="13" customHeight="1" outlineLevel="1">
      <c r="A50" s="23" t="s">
        <v>122</v>
      </c>
      <c r="D50" s="38">
        <f>D40</f>
        <v>527485.99241402873</v>
      </c>
      <c r="E50" s="38">
        <f>$D$25</f>
        <v>55426.116585002077</v>
      </c>
      <c r="F50" s="38">
        <f t="shared" ref="F50:K50" si="16">$D$25</f>
        <v>55426.116585002077</v>
      </c>
      <c r="G50" s="38">
        <f t="shared" si="16"/>
        <v>55426.116585002077</v>
      </c>
      <c r="H50" s="38">
        <f t="shared" si="16"/>
        <v>55426.116585002077</v>
      </c>
      <c r="I50" s="38">
        <f t="shared" si="16"/>
        <v>55426.116585002077</v>
      </c>
      <c r="J50" s="38">
        <f t="shared" si="16"/>
        <v>55426.116585002077</v>
      </c>
      <c r="K50" s="38">
        <f t="shared" si="16"/>
        <v>55426.116585002077</v>
      </c>
    </row>
    <row r="51" spans="1:11" ht="13" customHeight="1" outlineLevel="1">
      <c r="A51" s="23" t="s">
        <v>97</v>
      </c>
      <c r="E51" s="38">
        <f>E40</f>
        <v>637843.85812455078</v>
      </c>
      <c r="F51" s="38">
        <f>$E$25</f>
        <v>65391.875985002116</v>
      </c>
      <c r="G51" s="38">
        <f t="shared" ref="G51:K51" si="17">$E$25</f>
        <v>65391.875985002116</v>
      </c>
      <c r="H51" s="38">
        <f t="shared" si="17"/>
        <v>65391.875985002116</v>
      </c>
      <c r="I51" s="38">
        <f t="shared" si="17"/>
        <v>65391.875985002116</v>
      </c>
      <c r="J51" s="38">
        <f t="shared" si="17"/>
        <v>65391.875985002116</v>
      </c>
      <c r="K51" s="38">
        <f t="shared" si="17"/>
        <v>65391.875985002116</v>
      </c>
    </row>
    <row r="52" spans="1:11" ht="13" customHeight="1" outlineLevel="1">
      <c r="A52" s="23" t="s">
        <v>98</v>
      </c>
      <c r="F52" s="38">
        <f>F40</f>
        <v>755936.76782403491</v>
      </c>
      <c r="G52" s="38">
        <f>$F$25</f>
        <v>76023.384699002083</v>
      </c>
      <c r="H52" s="38">
        <f t="shared" ref="H52:K52" si="18">$F$25</f>
        <v>76023.384699002083</v>
      </c>
      <c r="I52" s="38">
        <f t="shared" si="18"/>
        <v>76023.384699002083</v>
      </c>
      <c r="J52" s="38">
        <f t="shared" si="18"/>
        <v>76023.384699002083</v>
      </c>
      <c r="K52" s="38">
        <f t="shared" si="18"/>
        <v>76023.384699002083</v>
      </c>
    </row>
    <row r="53" spans="1:11" ht="13" customHeight="1" outlineLevel="1">
      <c r="A53" s="23" t="s">
        <v>99</v>
      </c>
      <c r="G53" s="38">
        <f>G40</f>
        <v>882306.68032469763</v>
      </c>
      <c r="H53" s="38">
        <f>$G$25</f>
        <v>87363.977873342141</v>
      </c>
      <c r="I53" s="38">
        <f t="shared" ref="I53:K53" si="19">$G$25</f>
        <v>87363.977873342141</v>
      </c>
      <c r="J53" s="38">
        <f t="shared" si="19"/>
        <v>87363.977873342141</v>
      </c>
      <c r="K53" s="38">
        <f t="shared" si="19"/>
        <v>87363.977873342141</v>
      </c>
    </row>
    <row r="54" spans="1:11" ht="13" customHeight="1" outlineLevel="1">
      <c r="A54" s="23" t="s">
        <v>100</v>
      </c>
      <c r="H54" s="38">
        <f>H40</f>
        <v>1017534.1658464351</v>
      </c>
      <c r="I54" s="38">
        <f>$H$25</f>
        <v>99459.760272517538</v>
      </c>
      <c r="J54" s="38">
        <f t="shared" ref="J54:K54" si="20">$H$25</f>
        <v>99459.760272517538</v>
      </c>
      <c r="K54" s="38">
        <f t="shared" si="20"/>
        <v>99459.760272517538</v>
      </c>
    </row>
    <row r="55" spans="1:11" ht="13" customHeight="1" outlineLevel="1">
      <c r="A55" s="23" t="s">
        <v>101</v>
      </c>
      <c r="I55" s="38">
        <f>I40</f>
        <v>1162241.2458461341</v>
      </c>
      <c r="J55" s="38">
        <f>$I$25</f>
        <v>112359.78093173724</v>
      </c>
      <c r="K55" s="38">
        <f>$I$25</f>
        <v>112359.78093173724</v>
      </c>
    </row>
    <row r="56" spans="1:11" ht="13" customHeight="1" outlineLevel="1">
      <c r="A56" s="23" t="s">
        <v>102</v>
      </c>
      <c r="J56" s="38">
        <f>J40</f>
        <v>1317094.4510747227</v>
      </c>
      <c r="K56" s="38">
        <f>J25</f>
        <v>126116.21871240853</v>
      </c>
    </row>
    <row r="57" spans="1:11" ht="13" customHeight="1" outlineLevel="1">
      <c r="A57" s="23" t="s">
        <v>103</v>
      </c>
      <c r="K57" s="38">
        <f>K40</f>
        <v>1482808.1154992576</v>
      </c>
    </row>
    <row r="58" spans="1:11" ht="13" customHeight="1" outlineLevel="1"/>
    <row r="59" spans="1:11" ht="13" customHeight="1" outlineLevel="1"/>
    <row r="60" spans="1:11" ht="13" customHeight="1" thickBot="1"/>
    <row r="61" spans="1:11" ht="13" customHeight="1" thickBot="1">
      <c r="A61" s="262" t="s">
        <v>9</v>
      </c>
      <c r="B61" s="260"/>
      <c r="C61" s="260"/>
      <c r="D61" s="260"/>
      <c r="E61" s="261"/>
      <c r="G61" s="262" t="s">
        <v>11</v>
      </c>
      <c r="H61" s="263"/>
      <c r="I61" s="264"/>
    </row>
    <row r="62" spans="1:11" ht="13" customHeight="1">
      <c r="A62" s="265" t="s">
        <v>177</v>
      </c>
      <c r="B62" s="266"/>
      <c r="C62" s="154">
        <f>IRR(B68:B78)</f>
        <v>0.16351452638154251</v>
      </c>
      <c r="D62" s="21"/>
      <c r="E62" s="9"/>
      <c r="G62" s="265" t="s">
        <v>10</v>
      </c>
      <c r="H62" s="266"/>
      <c r="I62" s="156">
        <f>C62</f>
        <v>0.16351452638154251</v>
      </c>
    </row>
    <row r="63" spans="1:11" ht="13" customHeight="1">
      <c r="A63" s="267" t="s">
        <v>178</v>
      </c>
      <c r="B63" s="268"/>
      <c r="C63" s="155">
        <f>K41</f>
        <v>0.25505284350098201</v>
      </c>
      <c r="D63" s="271" t="str">
        <f>IF(C63&gt;C62,"Positive Financial Leverage","Negative Financial Leverage")</f>
        <v>Positive Financial Leverage</v>
      </c>
      <c r="E63" s="272"/>
      <c r="G63" s="267" t="s">
        <v>118</v>
      </c>
      <c r="H63" s="268"/>
      <c r="I63" s="157">
        <f>C63</f>
        <v>0.25505284350098201</v>
      </c>
    </row>
    <row r="64" spans="1:11" ht="13" customHeight="1" thickBot="1">
      <c r="A64" s="269" t="s">
        <v>179</v>
      </c>
      <c r="B64" s="270"/>
      <c r="C64" s="69">
        <f>B9</f>
        <v>9.5000000000000001E-2</v>
      </c>
      <c r="D64" s="26"/>
      <c r="E64" s="13"/>
      <c r="G64" s="269" t="s">
        <v>113</v>
      </c>
      <c r="H64" s="270"/>
      <c r="I64" s="158">
        <f>'10 Yr ATCF'!B43</f>
        <v>0.21101559349278931</v>
      </c>
    </row>
    <row r="65" spans="1:2" ht="13" customHeight="1"/>
    <row r="66" spans="1:2" ht="13" customHeight="1" outlineLevel="1">
      <c r="A66" t="s">
        <v>180</v>
      </c>
    </row>
    <row r="67" spans="1:2" ht="13" customHeight="1" outlineLevel="1"/>
    <row r="68" spans="1:2" ht="13" customHeight="1" outlineLevel="2">
      <c r="A68" s="23" t="s">
        <v>315</v>
      </c>
      <c r="B68" s="18">
        <f>-B6</f>
        <v>-1200000</v>
      </c>
    </row>
    <row r="69" spans="1:2" ht="13" customHeight="1" outlineLevel="2">
      <c r="A69" s="23" t="s">
        <v>181</v>
      </c>
      <c r="B69" s="19">
        <f>B23</f>
        <v>120000</v>
      </c>
    </row>
    <row r="70" spans="1:2" ht="13" customHeight="1" outlineLevel="2">
      <c r="A70" s="23" t="s">
        <v>121</v>
      </c>
      <c r="B70" s="19">
        <f>C23</f>
        <v>128430</v>
      </c>
    </row>
    <row r="71" spans="1:2" ht="13" customHeight="1" outlineLevel="2">
      <c r="A71" s="23" t="s">
        <v>122</v>
      </c>
      <c r="B71" s="19">
        <f>D23</f>
        <v>143494.74</v>
      </c>
    </row>
    <row r="72" spans="1:2" ht="13" customHeight="1" outlineLevel="2">
      <c r="A72" s="23" t="s">
        <v>97</v>
      </c>
      <c r="B72" s="19">
        <f>E23</f>
        <v>153460.49940000003</v>
      </c>
    </row>
    <row r="73" spans="1:2" ht="13" customHeight="1" outlineLevel="2">
      <c r="A73" s="23" t="s">
        <v>98</v>
      </c>
      <c r="B73" s="19">
        <f>F23</f>
        <v>164092.008114</v>
      </c>
    </row>
    <row r="74" spans="1:2" ht="13" customHeight="1" outlineLevel="2">
      <c r="A74" s="23" t="s">
        <v>99</v>
      </c>
      <c r="B74" s="19">
        <f>G23</f>
        <v>175432.60128834005</v>
      </c>
    </row>
    <row r="75" spans="1:2" ht="13" customHeight="1" outlineLevel="2">
      <c r="A75" s="23" t="s">
        <v>100</v>
      </c>
      <c r="B75" s="19">
        <f>H23</f>
        <v>187528.38368751545</v>
      </c>
    </row>
    <row r="76" spans="1:2" ht="13" customHeight="1" outlineLevel="2">
      <c r="A76" s="23" t="s">
        <v>101</v>
      </c>
      <c r="B76" s="19">
        <f>I23</f>
        <v>200428.40434673516</v>
      </c>
    </row>
    <row r="77" spans="1:2" ht="13" customHeight="1" outlineLevel="2">
      <c r="A77" s="23" t="s">
        <v>102</v>
      </c>
      <c r="B77" s="19">
        <f>J23</f>
        <v>214184.84212740645</v>
      </c>
    </row>
    <row r="78" spans="1:2" ht="13" customHeight="1" outlineLevel="2">
      <c r="A78" s="23" t="s">
        <v>103</v>
      </c>
      <c r="B78" s="19">
        <f>K23+K28-K29</f>
        <v>2273699.8067546394</v>
      </c>
    </row>
    <row r="79" spans="1:2" ht="13" customHeight="1"/>
    <row r="80" spans="1:2" ht="13" customHeight="1"/>
    <row r="81" ht="13" customHeight="1"/>
    <row r="82" ht="13" customHeight="1"/>
    <row r="83" ht="13" customHeight="1"/>
    <row r="84" ht="13" customHeight="1"/>
    <row r="85" ht="13" customHeight="1"/>
    <row r="86" ht="13" customHeight="1"/>
    <row r="87" ht="13" customHeight="1"/>
    <row r="88" ht="13" customHeight="1"/>
    <row r="89" ht="13" customHeight="1"/>
    <row r="90" ht="13" customHeight="1"/>
    <row r="91" ht="13" customHeight="1"/>
    <row r="92" ht="13" customHeight="1"/>
    <row r="93" ht="13" customHeight="1"/>
    <row r="94" ht="13" customHeight="1"/>
    <row r="95" ht="13" customHeight="1"/>
    <row r="96" ht="13" customHeight="1"/>
    <row r="97" ht="13" customHeight="1"/>
    <row r="98" ht="13" customHeight="1"/>
  </sheetData>
  <mergeCells count="15">
    <mergeCell ref="A2:L2"/>
    <mergeCell ref="A5:B5"/>
    <mergeCell ref="D5:E5"/>
    <mergeCell ref="D10:E10"/>
    <mergeCell ref="G5:H5"/>
    <mergeCell ref="G10:H10"/>
    <mergeCell ref="G61:I61"/>
    <mergeCell ref="G62:H62"/>
    <mergeCell ref="G63:H63"/>
    <mergeCell ref="G64:H64"/>
    <mergeCell ref="A61:E61"/>
    <mergeCell ref="A62:B62"/>
    <mergeCell ref="A63:B63"/>
    <mergeCell ref="A64:B64"/>
    <mergeCell ref="D63:E63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workbookViewId="0">
      <selection activeCell="C33" sqref="C33"/>
    </sheetView>
  </sheetViews>
  <sheetFormatPr baseColWidth="10" defaultColWidth="11" defaultRowHeight="13" x14ac:dyDescent="0"/>
  <cols>
    <col min="1" max="1" width="19.85546875" bestFit="1" customWidth="1"/>
    <col min="2" max="2" width="11" bestFit="1" customWidth="1"/>
    <col min="4" max="4" width="14" bestFit="1" customWidth="1"/>
  </cols>
  <sheetData>
    <row r="1" spans="1:12" ht="14" thickBot="1"/>
    <row r="2" spans="1:12" ht="17" thickBot="1">
      <c r="A2" s="259" t="s">
        <v>110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4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58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59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58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58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58">
        <f>B8</f>
        <v>840000</v>
      </c>
    </row>
    <row r="13" spans="1:12">
      <c r="A13" t="s">
        <v>165</v>
      </c>
      <c r="B13" s="58">
        <f>APOD!G11</f>
        <v>7339.0519512498258</v>
      </c>
      <c r="D13" t="s">
        <v>53</v>
      </c>
      <c r="E13" s="58">
        <f>E11-E12</f>
        <v>360000</v>
      </c>
    </row>
    <row r="14" spans="1:12">
      <c r="A14" t="s">
        <v>70</v>
      </c>
      <c r="B14" s="58">
        <f>APOD!G12</f>
        <v>88068.623414997914</v>
      </c>
    </row>
    <row r="16" spans="1:12">
      <c r="A16" s="27" t="s">
        <v>112</v>
      </c>
    </row>
    <row r="17" spans="1:11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  <c r="G17" s="70" t="s">
        <v>210</v>
      </c>
      <c r="H17" s="70" t="s">
        <v>212</v>
      </c>
      <c r="I17" s="70" t="s">
        <v>213</v>
      </c>
      <c r="J17" s="70" t="s">
        <v>214</v>
      </c>
      <c r="K17" s="70" t="s">
        <v>215</v>
      </c>
    </row>
    <row r="18" spans="1:11">
      <c r="A18" t="s">
        <v>259</v>
      </c>
      <c r="B18" s="78">
        <f>'10 Yr BTCF'!B25</f>
        <v>31931.376585002086</v>
      </c>
      <c r="C18" s="78">
        <f>'10 Yr BTCF'!C25</f>
        <v>40361.376585002086</v>
      </c>
      <c r="D18" s="78">
        <f>'10 Yr BTCF'!D25</f>
        <v>55426.116585002077</v>
      </c>
      <c r="E18" s="78">
        <f>'10 Yr BTCF'!E25</f>
        <v>65391.875985002116</v>
      </c>
      <c r="F18" s="78">
        <f>'10 Yr BTCF'!F25</f>
        <v>76023.384699002083</v>
      </c>
      <c r="G18" s="78">
        <f>'10 Yr BTCF'!G25</f>
        <v>87363.977873342141</v>
      </c>
      <c r="H18" s="78">
        <f>'10 Yr BTCF'!H25</f>
        <v>99459.760272517538</v>
      </c>
      <c r="I18" s="78">
        <f>'10 Yr BTCF'!I25</f>
        <v>112359.78093173724</v>
      </c>
      <c r="J18" s="78">
        <f>'10 Yr BTCF'!J25</f>
        <v>126116.21871240853</v>
      </c>
      <c r="K18" s="78">
        <f>'10 Yr BTCF'!K25</f>
        <v>140784.57943591347</v>
      </c>
    </row>
    <row r="19" spans="1:11">
      <c r="A19" s="77" t="s">
        <v>260</v>
      </c>
      <c r="B19" s="100">
        <f>C19/12*11.5</f>
        <v>22934.472934472935</v>
      </c>
      <c r="C19" s="100">
        <f>APOD!G4*APOD!D12/APOD!G29</f>
        <v>23931.623931623933</v>
      </c>
      <c r="D19" s="100">
        <f t="shared" ref="D19:J19" si="0">C19</f>
        <v>23931.623931623933</v>
      </c>
      <c r="E19" s="100">
        <f t="shared" si="0"/>
        <v>23931.623931623933</v>
      </c>
      <c r="F19" s="100">
        <f t="shared" si="0"/>
        <v>23931.623931623933</v>
      </c>
      <c r="G19" s="100">
        <f t="shared" si="0"/>
        <v>23931.623931623933</v>
      </c>
      <c r="H19" s="100">
        <f t="shared" si="0"/>
        <v>23931.623931623933</v>
      </c>
      <c r="I19" s="100">
        <f t="shared" si="0"/>
        <v>23931.623931623933</v>
      </c>
      <c r="J19" s="100">
        <f t="shared" si="0"/>
        <v>23931.623931623933</v>
      </c>
      <c r="K19" s="100">
        <f>B19</f>
        <v>22934.472934472935</v>
      </c>
    </row>
    <row r="20" spans="1:11" ht="14" thickBot="1">
      <c r="A20" s="26" t="s">
        <v>261</v>
      </c>
      <c r="B20" s="104">
        <f>'10 Yr BTCF'!B34</f>
        <v>8638.3252380470512</v>
      </c>
      <c r="C20" s="104">
        <f>'10 Yr BTCF'!C34</f>
        <v>9495.6581484262133</v>
      </c>
      <c r="D20" s="104">
        <f>'10 Yr BTCF'!D34</f>
        <v>10438.079278916703</v>
      </c>
      <c r="E20" s="104">
        <f>'10 Yr BTCF'!E34</f>
        <v>11474.033429795178</v>
      </c>
      <c r="F20" s="104">
        <f>'10 Yr BTCF'!F34</f>
        <v>12612.803527367185</v>
      </c>
      <c r="G20" s="104">
        <f>'10 Yr BTCF'!G34</f>
        <v>13864.593805946875</v>
      </c>
      <c r="H20" s="104">
        <f>'10 Yr BTCF'!H34</f>
        <v>15240.621245451504</v>
      </c>
      <c r="I20" s="104">
        <f>'10 Yr BTCF'!I34</f>
        <v>16753.216083956067</v>
      </c>
      <c r="J20" s="104">
        <f>'10 Yr BTCF'!J34</f>
        <v>18415.932305875933</v>
      </c>
      <c r="K20" s="104">
        <f>'10 Yr BTCF'!K34</f>
        <v>20243.669095833553</v>
      </c>
    </row>
    <row r="21" spans="1:11">
      <c r="A21" s="75" t="s">
        <v>262</v>
      </c>
      <c r="B21" s="78">
        <f>B18-B19+B20</f>
        <v>17635.228888576203</v>
      </c>
      <c r="C21" s="78">
        <f t="shared" ref="C21:K21" si="1">C18-C19+C20</f>
        <v>25925.410801804366</v>
      </c>
      <c r="D21" s="78">
        <f t="shared" si="1"/>
        <v>41932.571932294843</v>
      </c>
      <c r="E21" s="78">
        <f t="shared" si="1"/>
        <v>52934.285483173357</v>
      </c>
      <c r="F21" s="78">
        <f t="shared" si="1"/>
        <v>64704.564294745331</v>
      </c>
      <c r="G21" s="78">
        <f t="shared" si="1"/>
        <v>77296.947747665079</v>
      </c>
      <c r="H21" s="78">
        <f t="shared" si="1"/>
        <v>90768.757586345106</v>
      </c>
      <c r="I21" s="78">
        <f t="shared" si="1"/>
        <v>105181.37308406938</v>
      </c>
      <c r="J21" s="78">
        <f t="shared" si="1"/>
        <v>120600.52708666053</v>
      </c>
      <c r="K21" s="78">
        <f t="shared" si="1"/>
        <v>138093.7755972741</v>
      </c>
    </row>
    <row r="22" spans="1:11" ht="14" thickBot="1">
      <c r="A22" s="76" t="s">
        <v>263</v>
      </c>
      <c r="B22" s="101">
        <f>APOD!$G$30</f>
        <v>0.35</v>
      </c>
      <c r="C22" s="101">
        <f>APOD!$G$30</f>
        <v>0.35</v>
      </c>
      <c r="D22" s="101">
        <f>APOD!$G$30</f>
        <v>0.35</v>
      </c>
      <c r="E22" s="101">
        <f>APOD!$G$30</f>
        <v>0.35</v>
      </c>
      <c r="F22" s="101">
        <f>APOD!$G$30</f>
        <v>0.35</v>
      </c>
      <c r="G22" s="101">
        <f>APOD!$G$30</f>
        <v>0.35</v>
      </c>
      <c r="H22" s="101">
        <f>APOD!$G$30</f>
        <v>0.35</v>
      </c>
      <c r="I22" s="101">
        <f>APOD!$G$30</f>
        <v>0.35</v>
      </c>
      <c r="J22" s="101">
        <f>APOD!$G$30</f>
        <v>0.35</v>
      </c>
      <c r="K22" s="101">
        <f>APOD!$G$30</f>
        <v>0.35</v>
      </c>
    </row>
    <row r="23" spans="1:11">
      <c r="A23" s="75" t="s">
        <v>264</v>
      </c>
      <c r="B23" s="112">
        <f>B21*B22</f>
        <v>6172.330111001671</v>
      </c>
      <c r="C23" s="112">
        <f t="shared" ref="C23:K23" si="2">C21*C22</f>
        <v>9073.893780631528</v>
      </c>
      <c r="D23" s="112">
        <f t="shared" si="2"/>
        <v>14676.400176303194</v>
      </c>
      <c r="E23" s="112">
        <f t="shared" si="2"/>
        <v>18526.999919110673</v>
      </c>
      <c r="F23" s="112">
        <f t="shared" si="2"/>
        <v>22646.597503160865</v>
      </c>
      <c r="G23" s="112">
        <f t="shared" si="2"/>
        <v>27053.931711682777</v>
      </c>
      <c r="H23" s="112">
        <f t="shared" si="2"/>
        <v>31769.065155220786</v>
      </c>
      <c r="I23" s="112">
        <f t="shared" si="2"/>
        <v>36813.480579424278</v>
      </c>
      <c r="J23" s="112">
        <f t="shared" si="2"/>
        <v>42210.184480331183</v>
      </c>
      <c r="K23" s="112">
        <f t="shared" si="2"/>
        <v>48332.821459045932</v>
      </c>
    </row>
    <row r="25" spans="1:11">
      <c r="A25" s="27" t="s">
        <v>266</v>
      </c>
      <c r="B25" s="78">
        <f>B18</f>
        <v>31931.376585002086</v>
      </c>
      <c r="C25" s="78">
        <f t="shared" ref="C25:K25" si="3">C18</f>
        <v>40361.376585002086</v>
      </c>
      <c r="D25" s="78">
        <f t="shared" si="3"/>
        <v>55426.116585002077</v>
      </c>
      <c r="E25" s="78">
        <f t="shared" si="3"/>
        <v>65391.875985002116</v>
      </c>
      <c r="F25" s="78">
        <f t="shared" si="3"/>
        <v>76023.384699002083</v>
      </c>
      <c r="G25" s="78">
        <f t="shared" si="3"/>
        <v>87363.977873342141</v>
      </c>
      <c r="H25" s="78">
        <f t="shared" si="3"/>
        <v>99459.760272517538</v>
      </c>
      <c r="I25" s="78">
        <f t="shared" si="3"/>
        <v>112359.78093173724</v>
      </c>
      <c r="J25" s="78">
        <f t="shared" si="3"/>
        <v>126116.21871240853</v>
      </c>
      <c r="K25" s="78">
        <f t="shared" si="3"/>
        <v>140784.57943591347</v>
      </c>
    </row>
    <row r="26" spans="1:11" ht="14" thickBot="1">
      <c r="A26" s="26" t="s">
        <v>265</v>
      </c>
      <c r="B26" s="111">
        <f>B23</f>
        <v>6172.330111001671</v>
      </c>
      <c r="C26" s="111">
        <f t="shared" ref="C26:K26" si="4">C23</f>
        <v>9073.893780631528</v>
      </c>
      <c r="D26" s="111">
        <f t="shared" si="4"/>
        <v>14676.400176303194</v>
      </c>
      <c r="E26" s="111">
        <f t="shared" si="4"/>
        <v>18526.999919110673</v>
      </c>
      <c r="F26" s="111">
        <f t="shared" si="4"/>
        <v>22646.597503160865</v>
      </c>
      <c r="G26" s="111">
        <f t="shared" si="4"/>
        <v>27053.931711682777</v>
      </c>
      <c r="H26" s="111">
        <f t="shared" si="4"/>
        <v>31769.065155220786</v>
      </c>
      <c r="I26" s="111">
        <f t="shared" si="4"/>
        <v>36813.480579424278</v>
      </c>
      <c r="J26" s="111">
        <f t="shared" si="4"/>
        <v>42210.184480331183</v>
      </c>
      <c r="K26" s="111">
        <f t="shared" si="4"/>
        <v>48332.821459045932</v>
      </c>
    </row>
    <row r="27" spans="1:11">
      <c r="A27" s="82" t="s">
        <v>96</v>
      </c>
      <c r="B27" s="112">
        <f>B25-B26</f>
        <v>25759.046474000417</v>
      </c>
      <c r="C27" s="112">
        <f t="shared" ref="C27:K27" si="5">C25-C26</f>
        <v>31287.482804370557</v>
      </c>
      <c r="D27" s="112">
        <f t="shared" si="5"/>
        <v>40749.716408698885</v>
      </c>
      <c r="E27" s="112">
        <f t="shared" si="5"/>
        <v>46864.87606589144</v>
      </c>
      <c r="F27" s="112">
        <f t="shared" si="5"/>
        <v>53376.787195841214</v>
      </c>
      <c r="G27" s="112">
        <f t="shared" si="5"/>
        <v>60310.046161659367</v>
      </c>
      <c r="H27" s="112">
        <f t="shared" si="5"/>
        <v>67690.695117296753</v>
      </c>
      <c r="I27" s="112">
        <f t="shared" si="5"/>
        <v>75546.300352312974</v>
      </c>
      <c r="J27" s="112">
        <f t="shared" si="5"/>
        <v>83906.034232077349</v>
      </c>
      <c r="K27" s="112">
        <f t="shared" si="5"/>
        <v>92451.75797686755</v>
      </c>
    </row>
    <row r="30" spans="1:11">
      <c r="A30" s="83" t="s">
        <v>170</v>
      </c>
      <c r="B30" s="84"/>
      <c r="C30" s="55">
        <f>B6</f>
        <v>1200000</v>
      </c>
      <c r="E30" s="279" t="s">
        <v>253</v>
      </c>
      <c r="F30" s="280"/>
      <c r="G30" s="106">
        <f>'10 Yr BTCF'!K28</f>
        <v>2222659.3520692694</v>
      </c>
      <c r="I30" s="83" t="s">
        <v>77</v>
      </c>
      <c r="J30" s="84"/>
      <c r="K30" s="84"/>
    </row>
    <row r="31" spans="1:11">
      <c r="A31" t="s">
        <v>171</v>
      </c>
      <c r="C31" s="79">
        <f>APOD!G33</f>
        <v>0</v>
      </c>
      <c r="E31" s="277" t="s">
        <v>254</v>
      </c>
      <c r="F31" s="277"/>
      <c r="G31" s="107">
        <f>'10 Yr BTCF'!K29</f>
        <v>177812.74816554156</v>
      </c>
      <c r="I31" t="s">
        <v>78</v>
      </c>
      <c r="K31" s="112">
        <f>'10 Yr BTCF'!K28</f>
        <v>2222659.3520692694</v>
      </c>
    </row>
    <row r="32" spans="1:11" ht="14" thickBot="1">
      <c r="A32" t="s">
        <v>172</v>
      </c>
      <c r="C32" s="103">
        <f>SUM(B19:K19)</f>
        <v>237321.93732193735</v>
      </c>
      <c r="E32" s="277" t="s">
        <v>255</v>
      </c>
      <c r="F32" s="277"/>
      <c r="G32" s="108">
        <f>C33</f>
        <v>962678.06267806259</v>
      </c>
      <c r="I32" t="s">
        <v>237</v>
      </c>
      <c r="K32" s="112">
        <f>'10 Yr BTCF'!K29</f>
        <v>177812.74816554156</v>
      </c>
    </row>
    <row r="33" spans="1:11">
      <c r="A33" s="85" t="s">
        <v>252</v>
      </c>
      <c r="B33" s="86"/>
      <c r="C33" s="105">
        <f>C30+C31-C32</f>
        <v>962678.06267806259</v>
      </c>
      <c r="E33" s="277" t="s">
        <v>256</v>
      </c>
      <c r="F33" s="277"/>
      <c r="G33" s="107">
        <f>G30-G31-G32</f>
        <v>1082168.5412256652</v>
      </c>
      <c r="I33" t="s">
        <v>81</v>
      </c>
      <c r="K33" s="112">
        <f>G38</f>
        <v>186057.47491604352</v>
      </c>
    </row>
    <row r="34" spans="1:11" ht="14" thickBot="1">
      <c r="E34" s="277" t="s">
        <v>257</v>
      </c>
      <c r="F34" s="277"/>
      <c r="G34" s="107">
        <f>C32</f>
        <v>237321.93732193735</v>
      </c>
      <c r="I34" t="s">
        <v>238</v>
      </c>
      <c r="K34" s="112">
        <f>'10 Yr BTCF'!K30</f>
        <v>702823.06784038374</v>
      </c>
    </row>
    <row r="35" spans="1:11">
      <c r="E35" s="87" t="s">
        <v>90</v>
      </c>
      <c r="F35" s="87"/>
      <c r="G35" s="107">
        <f>G33-G34</f>
        <v>844846.60390372784</v>
      </c>
      <c r="I35" s="82" t="s">
        <v>239</v>
      </c>
      <c r="K35" s="113">
        <f>K31-K32-K33-K34</f>
        <v>1155966.0611473005</v>
      </c>
    </row>
    <row r="36" spans="1:11">
      <c r="E36" s="277" t="s">
        <v>258</v>
      </c>
      <c r="F36" s="277"/>
      <c r="G36" s="110">
        <f>APOD!G32</f>
        <v>0.25</v>
      </c>
    </row>
    <row r="37" spans="1:11">
      <c r="E37" s="277" t="s">
        <v>75</v>
      </c>
      <c r="F37" s="277"/>
      <c r="G37" s="110">
        <f>APOD!G31</f>
        <v>0.15</v>
      </c>
    </row>
    <row r="38" spans="1:11">
      <c r="E38" s="278" t="s">
        <v>76</v>
      </c>
      <c r="F38" s="278"/>
      <c r="G38" s="109">
        <f>(G34*G36)+(G35*G37)</f>
        <v>186057.47491604352</v>
      </c>
    </row>
    <row r="40" spans="1:11">
      <c r="A40" s="82" t="s">
        <v>240</v>
      </c>
    </row>
    <row r="41" spans="1:11">
      <c r="A41" s="99" t="s">
        <v>241</v>
      </c>
      <c r="B41" s="99" t="s">
        <v>120</v>
      </c>
      <c r="C41" s="99" t="s">
        <v>121</v>
      </c>
      <c r="D41" s="99" t="s">
        <v>122</v>
      </c>
      <c r="E41" s="99" t="s">
        <v>97</v>
      </c>
      <c r="F41" s="99" t="s">
        <v>98</v>
      </c>
      <c r="G41" s="99" t="s">
        <v>99</v>
      </c>
      <c r="H41" s="99" t="s">
        <v>100</v>
      </c>
      <c r="I41" s="99" t="s">
        <v>101</v>
      </c>
      <c r="J41" s="99" t="s">
        <v>102</v>
      </c>
      <c r="K41" s="99" t="s">
        <v>103</v>
      </c>
    </row>
    <row r="42" spans="1:11">
      <c r="A42" s="78">
        <f>-E13</f>
        <v>-360000</v>
      </c>
      <c r="B42" s="112">
        <f>B27</f>
        <v>25759.046474000417</v>
      </c>
      <c r="C42" s="112">
        <f t="shared" ref="C42:J42" si="6">C27</f>
        <v>31287.482804370557</v>
      </c>
      <c r="D42" s="112">
        <f t="shared" si="6"/>
        <v>40749.716408698885</v>
      </c>
      <c r="E42" s="112">
        <f t="shared" si="6"/>
        <v>46864.87606589144</v>
      </c>
      <c r="F42" s="112">
        <f t="shared" si="6"/>
        <v>53376.787195841214</v>
      </c>
      <c r="G42" s="112">
        <f t="shared" si="6"/>
        <v>60310.046161659367</v>
      </c>
      <c r="H42" s="112">
        <f t="shared" si="6"/>
        <v>67690.695117296753</v>
      </c>
      <c r="I42" s="112">
        <f t="shared" si="6"/>
        <v>75546.300352312974</v>
      </c>
      <c r="J42" s="112">
        <f t="shared" si="6"/>
        <v>83906.034232077349</v>
      </c>
      <c r="K42" s="112">
        <f>K27+K35</f>
        <v>1248417.819124168</v>
      </c>
    </row>
    <row r="43" spans="1:11">
      <c r="A43" t="s">
        <v>242</v>
      </c>
      <c r="B43" s="128">
        <f>IRR(A42:K42)</f>
        <v>0.21101559349278931</v>
      </c>
    </row>
    <row r="44" spans="1:11">
      <c r="A44" t="s">
        <v>243</v>
      </c>
      <c r="B44" s="114">
        <f>NPV(H11,B42:K42)</f>
        <v>385373.56446454307</v>
      </c>
    </row>
    <row r="45" spans="1:11">
      <c r="A45" t="s">
        <v>244</v>
      </c>
      <c r="B45" s="115">
        <f>B44+A42</f>
        <v>25373.564464543073</v>
      </c>
    </row>
  </sheetData>
  <mergeCells count="14">
    <mergeCell ref="A2:L2"/>
    <mergeCell ref="A5:B5"/>
    <mergeCell ref="D5:E5"/>
    <mergeCell ref="G5:H5"/>
    <mergeCell ref="D10:E10"/>
    <mergeCell ref="G10:H10"/>
    <mergeCell ref="E37:F37"/>
    <mergeCell ref="E38:F38"/>
    <mergeCell ref="E30:F30"/>
    <mergeCell ref="E31:F31"/>
    <mergeCell ref="E32:F32"/>
    <mergeCell ref="E33:F33"/>
    <mergeCell ref="E34:F34"/>
    <mergeCell ref="E36:F36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D37" sqref="D37"/>
    </sheetView>
  </sheetViews>
  <sheetFormatPr baseColWidth="10" defaultColWidth="11" defaultRowHeight="13" x14ac:dyDescent="0"/>
  <cols>
    <col min="1" max="1" width="18.7109375" bestFit="1" customWidth="1"/>
    <col min="2" max="2" width="11" bestFit="1" customWidth="1"/>
    <col min="4" max="4" width="14" bestFit="1" customWidth="1"/>
  </cols>
  <sheetData>
    <row r="1" spans="1:12" ht="14" thickBot="1"/>
    <row r="2" spans="1:12" ht="17" thickBot="1">
      <c r="A2" s="259" t="s">
        <v>267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4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58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59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58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58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58">
        <f>B8</f>
        <v>840000</v>
      </c>
    </row>
    <row r="13" spans="1:12">
      <c r="A13" t="s">
        <v>165</v>
      </c>
      <c r="B13" s="58">
        <f>APOD!G11</f>
        <v>7339.0519512498258</v>
      </c>
      <c r="D13" t="s">
        <v>53</v>
      </c>
      <c r="E13" s="58">
        <f>E11-E12</f>
        <v>360000</v>
      </c>
    </row>
    <row r="14" spans="1:12">
      <c r="A14" t="s">
        <v>70</v>
      </c>
      <c r="B14" s="58">
        <f>APOD!G12</f>
        <v>88068.623414997914</v>
      </c>
    </row>
    <row r="16" spans="1:12">
      <c r="A16" s="27" t="s">
        <v>112</v>
      </c>
    </row>
    <row r="17" spans="1:12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  <c r="G17" s="70" t="s">
        <v>210</v>
      </c>
      <c r="H17" s="70" t="s">
        <v>212</v>
      </c>
      <c r="I17" s="70" t="s">
        <v>213</v>
      </c>
      <c r="J17" s="70" t="s">
        <v>214</v>
      </c>
      <c r="K17" s="70" t="s">
        <v>215</v>
      </c>
      <c r="L17" s="70" t="s">
        <v>216</v>
      </c>
    </row>
    <row r="18" spans="1:12">
      <c r="A18" t="s">
        <v>245</v>
      </c>
      <c r="B18" s="78">
        <f>'10 Yr BTCF'!B23</f>
        <v>120000</v>
      </c>
      <c r="C18" s="78">
        <f>'10 Yr BTCF'!C23</f>
        <v>128430</v>
      </c>
      <c r="D18" s="78">
        <f>'10 Yr BTCF'!D23</f>
        <v>143494.74</v>
      </c>
      <c r="E18" s="78">
        <f>'10 Yr BTCF'!E23</f>
        <v>153460.49940000003</v>
      </c>
      <c r="F18" s="78">
        <f>'10 Yr BTCF'!F23</f>
        <v>164092.008114</v>
      </c>
      <c r="G18" s="78">
        <f>'10 Yr BTCF'!G23</f>
        <v>175432.60128834005</v>
      </c>
      <c r="H18" s="78">
        <f>'10 Yr BTCF'!H23</f>
        <v>187528.38368751545</v>
      </c>
      <c r="I18" s="78">
        <f>'10 Yr BTCF'!I23</f>
        <v>200428.40434673516</v>
      </c>
      <c r="J18" s="78">
        <f>'10 Yr BTCF'!J23</f>
        <v>214184.84212740645</v>
      </c>
      <c r="K18" s="78">
        <f>'10 Yr BTCF'!K23</f>
        <v>228853.20285091139</v>
      </c>
      <c r="L18" s="78">
        <f>'10 Yr BTCF'!L23</f>
        <v>244492.52872761965</v>
      </c>
    </row>
    <row r="19" spans="1:12" ht="14" thickBot="1">
      <c r="A19" s="77" t="s">
        <v>260</v>
      </c>
      <c r="B19" s="116">
        <f>'10 Yr ATCF'!B19</f>
        <v>22934.472934472935</v>
      </c>
      <c r="C19" s="116">
        <f>'10 Yr ATCF'!C19</f>
        <v>23931.623931623933</v>
      </c>
      <c r="D19" s="116">
        <f>'10 Yr ATCF'!D19</f>
        <v>23931.623931623933</v>
      </c>
      <c r="E19" s="116">
        <f>'10 Yr ATCF'!E19</f>
        <v>23931.623931623933</v>
      </c>
      <c r="F19" s="116">
        <f>'10 Yr ATCF'!F19</f>
        <v>23931.623931623933</v>
      </c>
      <c r="G19" s="116">
        <f>'10 Yr ATCF'!G19</f>
        <v>23931.623931623933</v>
      </c>
      <c r="H19" s="116">
        <f>'10 Yr ATCF'!H19</f>
        <v>23931.623931623933</v>
      </c>
      <c r="I19" s="116">
        <f>'10 Yr ATCF'!I19</f>
        <v>23931.623931623933</v>
      </c>
      <c r="J19" s="116">
        <f>'10 Yr ATCF'!J19</f>
        <v>23931.623931623933</v>
      </c>
      <c r="K19" s="116">
        <f>'10 Yr ATCF'!K19</f>
        <v>22934.472934472935</v>
      </c>
    </row>
    <row r="20" spans="1:12">
      <c r="A20" s="89" t="s">
        <v>262</v>
      </c>
      <c r="B20" s="41">
        <f>B18-B19</f>
        <v>97065.527065527072</v>
      </c>
      <c r="C20" s="41">
        <f t="shared" ref="C20:K20" si="0">C18-C19</f>
        <v>104498.37606837606</v>
      </c>
      <c r="D20" s="41">
        <f t="shared" si="0"/>
        <v>119563.11606837605</v>
      </c>
      <c r="E20" s="41">
        <f t="shared" si="0"/>
        <v>129528.87546837609</v>
      </c>
      <c r="F20" s="41">
        <f t="shared" si="0"/>
        <v>140160.38418237606</v>
      </c>
      <c r="G20" s="41">
        <f t="shared" si="0"/>
        <v>151500.97735671612</v>
      </c>
      <c r="H20" s="41">
        <f t="shared" si="0"/>
        <v>163596.75975589151</v>
      </c>
      <c r="I20" s="41">
        <f t="shared" si="0"/>
        <v>176496.78041511122</v>
      </c>
      <c r="J20" s="41">
        <f t="shared" si="0"/>
        <v>190253.21819578251</v>
      </c>
      <c r="K20" s="41">
        <f t="shared" si="0"/>
        <v>205918.72991643846</v>
      </c>
    </row>
    <row r="21" spans="1:12" ht="14" thickBot="1">
      <c r="A21" s="76" t="s">
        <v>263</v>
      </c>
      <c r="B21" s="117">
        <f>APOD!$G$30</f>
        <v>0.35</v>
      </c>
      <c r="C21" s="117">
        <f>APOD!$G$30</f>
        <v>0.35</v>
      </c>
      <c r="D21" s="117">
        <f>APOD!$G$30</f>
        <v>0.35</v>
      </c>
      <c r="E21" s="117">
        <f>APOD!$G$30</f>
        <v>0.35</v>
      </c>
      <c r="F21" s="117">
        <f>APOD!$G$30</f>
        <v>0.35</v>
      </c>
      <c r="G21" s="117">
        <f>APOD!$G$30</f>
        <v>0.35</v>
      </c>
      <c r="H21" s="117">
        <f>APOD!$G$30</f>
        <v>0.35</v>
      </c>
      <c r="I21" s="117">
        <f>APOD!$G$30</f>
        <v>0.35</v>
      </c>
      <c r="J21" s="117">
        <f>APOD!$G$30</f>
        <v>0.35</v>
      </c>
      <c r="K21" s="117">
        <f>APOD!$G$30</f>
        <v>0.35</v>
      </c>
    </row>
    <row r="22" spans="1:12">
      <c r="A22" s="75" t="s">
        <v>264</v>
      </c>
      <c r="B22" s="119">
        <f>B20*B21</f>
        <v>33972.934472934474</v>
      </c>
      <c r="C22" s="119">
        <f t="shared" ref="C22:K22" si="1">C20*C21</f>
        <v>36574.431623931618</v>
      </c>
      <c r="D22" s="119">
        <f t="shared" si="1"/>
        <v>41847.090623931617</v>
      </c>
      <c r="E22" s="119">
        <f t="shared" si="1"/>
        <v>45335.10641393163</v>
      </c>
      <c r="F22" s="119">
        <f t="shared" si="1"/>
        <v>49056.134463831615</v>
      </c>
      <c r="G22" s="119">
        <f t="shared" si="1"/>
        <v>53025.34207485064</v>
      </c>
      <c r="H22" s="119">
        <f t="shared" si="1"/>
        <v>57258.865914562026</v>
      </c>
      <c r="I22" s="119">
        <f t="shared" si="1"/>
        <v>61773.873145288926</v>
      </c>
      <c r="J22" s="119">
        <f t="shared" si="1"/>
        <v>66588.626368523881</v>
      </c>
      <c r="K22" s="119">
        <f t="shared" si="1"/>
        <v>72071.555470753461</v>
      </c>
    </row>
    <row r="24" spans="1:12">
      <c r="A24" s="27" t="s">
        <v>270</v>
      </c>
      <c r="B24" s="78">
        <f>B18</f>
        <v>120000</v>
      </c>
      <c r="C24" s="78">
        <f t="shared" ref="C24:K24" si="2">C18</f>
        <v>128430</v>
      </c>
      <c r="D24" s="78">
        <f t="shared" si="2"/>
        <v>143494.74</v>
      </c>
      <c r="E24" s="78">
        <f t="shared" si="2"/>
        <v>153460.49940000003</v>
      </c>
      <c r="F24" s="78">
        <f t="shared" si="2"/>
        <v>164092.008114</v>
      </c>
      <c r="G24" s="78">
        <f t="shared" si="2"/>
        <v>175432.60128834005</v>
      </c>
      <c r="H24" s="78">
        <f t="shared" si="2"/>
        <v>187528.38368751545</v>
      </c>
      <c r="I24" s="78">
        <f t="shared" si="2"/>
        <v>200428.40434673516</v>
      </c>
      <c r="J24" s="78">
        <f t="shared" si="2"/>
        <v>214184.84212740645</v>
      </c>
      <c r="K24" s="78">
        <f t="shared" si="2"/>
        <v>228853.20285091139</v>
      </c>
    </row>
    <row r="25" spans="1:12" ht="14" thickBot="1">
      <c r="A25" s="26" t="s">
        <v>265</v>
      </c>
      <c r="B25" s="118">
        <f>B22</f>
        <v>33972.934472934474</v>
      </c>
      <c r="C25" s="118">
        <f t="shared" ref="C25:K25" si="3">C22</f>
        <v>36574.431623931618</v>
      </c>
      <c r="D25" s="118">
        <f t="shared" si="3"/>
        <v>41847.090623931617</v>
      </c>
      <c r="E25" s="118">
        <f t="shared" si="3"/>
        <v>45335.10641393163</v>
      </c>
      <c r="F25" s="118">
        <f t="shared" si="3"/>
        <v>49056.134463831615</v>
      </c>
      <c r="G25" s="118">
        <f t="shared" si="3"/>
        <v>53025.34207485064</v>
      </c>
      <c r="H25" s="118">
        <f t="shared" si="3"/>
        <v>57258.865914562026</v>
      </c>
      <c r="I25" s="118">
        <f t="shared" si="3"/>
        <v>61773.873145288926</v>
      </c>
      <c r="J25" s="118">
        <f t="shared" si="3"/>
        <v>66588.626368523881</v>
      </c>
      <c r="K25" s="118">
        <f t="shared" si="3"/>
        <v>72071.555470753461</v>
      </c>
    </row>
    <row r="26" spans="1:12">
      <c r="A26" s="82" t="s">
        <v>96</v>
      </c>
      <c r="B26" s="119">
        <f>B24-B25</f>
        <v>86027.065527065526</v>
      </c>
      <c r="C26" s="119">
        <f t="shared" ref="C26:K26" si="4">C24-C25</f>
        <v>91855.568376068375</v>
      </c>
      <c r="D26" s="119">
        <f t="shared" si="4"/>
        <v>101647.64937606838</v>
      </c>
      <c r="E26" s="119">
        <f t="shared" si="4"/>
        <v>108125.3929860684</v>
      </c>
      <c r="F26" s="119">
        <f t="shared" si="4"/>
        <v>115035.87365016839</v>
      </c>
      <c r="G26" s="119">
        <f t="shared" si="4"/>
        <v>122407.25921348942</v>
      </c>
      <c r="H26" s="119">
        <f t="shared" si="4"/>
        <v>130269.51777295343</v>
      </c>
      <c r="I26" s="119">
        <f t="shared" si="4"/>
        <v>138654.53120144623</v>
      </c>
      <c r="J26" s="119">
        <f t="shared" si="4"/>
        <v>147596.21575888258</v>
      </c>
      <c r="K26" s="119">
        <f t="shared" si="4"/>
        <v>156781.64738015793</v>
      </c>
    </row>
    <row r="27" spans="1:12">
      <c r="A27" s="82"/>
      <c r="B27" s="123"/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2">
      <c r="A28" s="82"/>
      <c r="B28" s="123"/>
      <c r="C28" s="123"/>
      <c r="D28" s="123"/>
      <c r="E28" s="123"/>
      <c r="F28" s="123"/>
      <c r="G28" s="123"/>
      <c r="H28" s="123"/>
      <c r="I28" s="123"/>
      <c r="J28" s="123"/>
      <c r="K28" s="123"/>
    </row>
    <row r="30" spans="1:12">
      <c r="A30" s="83" t="s">
        <v>170</v>
      </c>
      <c r="B30" s="84"/>
      <c r="C30" s="120">
        <f>B6</f>
        <v>1200000</v>
      </c>
      <c r="D30" s="235"/>
      <c r="E30" s="279" t="s">
        <v>253</v>
      </c>
      <c r="F30" s="280"/>
      <c r="G30" s="106">
        <f>'10 Yr BTCF'!K28</f>
        <v>2222659.3520692694</v>
      </c>
      <c r="I30" s="83" t="s">
        <v>77</v>
      </c>
      <c r="J30" s="84"/>
      <c r="K30" s="84"/>
    </row>
    <row r="31" spans="1:12">
      <c r="A31" t="s">
        <v>171</v>
      </c>
      <c r="C31" s="130">
        <f>APOD!G33</f>
        <v>0</v>
      </c>
      <c r="E31" s="277" t="s">
        <v>254</v>
      </c>
      <c r="F31" s="277"/>
      <c r="G31" s="107">
        <f>'10 Yr BTCF'!K29</f>
        <v>177812.74816554156</v>
      </c>
      <c r="I31" t="s">
        <v>78</v>
      </c>
      <c r="K31" s="112">
        <f>'10 Yr BTCF'!K28</f>
        <v>2222659.3520692694</v>
      </c>
    </row>
    <row r="32" spans="1:12" ht="14" thickBot="1">
      <c r="A32" t="s">
        <v>172</v>
      </c>
      <c r="C32" s="121">
        <f>'10 Yr ATCF'!C32</f>
        <v>237321.93732193735</v>
      </c>
      <c r="D32" s="235"/>
      <c r="E32" s="277" t="s">
        <v>255</v>
      </c>
      <c r="F32" s="277"/>
      <c r="G32" s="108">
        <f>C33</f>
        <v>962678.06267806259</v>
      </c>
      <c r="I32" t="s">
        <v>237</v>
      </c>
      <c r="K32" s="112">
        <f>'10 Yr BTCF'!K29</f>
        <v>177812.74816554156</v>
      </c>
    </row>
    <row r="33" spans="1:11">
      <c r="A33" s="85" t="s">
        <v>252</v>
      </c>
      <c r="B33" s="86"/>
      <c r="C33" s="122">
        <f>C30+C31-C32</f>
        <v>962678.06267806259</v>
      </c>
      <c r="D33" s="235"/>
      <c r="E33" s="277" t="s">
        <v>256</v>
      </c>
      <c r="F33" s="277"/>
      <c r="G33" s="107">
        <f>G30-G31-G32</f>
        <v>1082168.5412256652</v>
      </c>
      <c r="I33" t="s">
        <v>81</v>
      </c>
      <c r="K33" s="112">
        <f>G38</f>
        <v>186057.47491604352</v>
      </c>
    </row>
    <row r="34" spans="1:11" ht="14" thickBot="1">
      <c r="E34" s="277" t="s">
        <v>257</v>
      </c>
      <c r="F34" s="277"/>
      <c r="G34" s="107">
        <f>C32</f>
        <v>237321.93732193735</v>
      </c>
      <c r="I34" t="s">
        <v>238</v>
      </c>
      <c r="K34" s="112">
        <v>0</v>
      </c>
    </row>
    <row r="35" spans="1:11">
      <c r="E35" s="87" t="s">
        <v>90</v>
      </c>
      <c r="F35" s="87"/>
      <c r="G35" s="107">
        <f>G33-G34</f>
        <v>844846.60390372784</v>
      </c>
      <c r="I35" s="82" t="s">
        <v>239</v>
      </c>
      <c r="K35" s="113">
        <f>K31-K32-K33-K34</f>
        <v>1858789.1289876844</v>
      </c>
    </row>
    <row r="36" spans="1:11">
      <c r="C36" s="235"/>
      <c r="E36" s="277" t="s">
        <v>258</v>
      </c>
      <c r="F36" s="277"/>
      <c r="G36" s="110">
        <f>APOD!G32</f>
        <v>0.25</v>
      </c>
    </row>
    <row r="37" spans="1:11">
      <c r="E37" s="277" t="s">
        <v>75</v>
      </c>
      <c r="F37" s="277"/>
      <c r="G37" s="110">
        <f>APOD!G31</f>
        <v>0.15</v>
      </c>
    </row>
    <row r="38" spans="1:11">
      <c r="E38" s="86" t="s">
        <v>250</v>
      </c>
      <c r="F38" s="86"/>
      <c r="G38" s="129">
        <f>(G34*G36)+(G35*G37)</f>
        <v>186057.47491604352</v>
      </c>
    </row>
    <row r="39" spans="1:11">
      <c r="A39" s="82" t="s">
        <v>240</v>
      </c>
    </row>
    <row r="40" spans="1:11">
      <c r="A40" s="88" t="s">
        <v>241</v>
      </c>
      <c r="B40" s="88" t="s">
        <v>251</v>
      </c>
      <c r="C40" s="88" t="s">
        <v>121</v>
      </c>
      <c r="D40" s="88" t="s">
        <v>122</v>
      </c>
      <c r="E40" s="88" t="s">
        <v>97</v>
      </c>
      <c r="F40" s="88" t="s">
        <v>98</v>
      </c>
      <c r="G40" s="88" t="s">
        <v>99</v>
      </c>
      <c r="H40" s="88" t="s">
        <v>100</v>
      </c>
      <c r="I40" s="88" t="s">
        <v>101</v>
      </c>
      <c r="J40" s="88" t="s">
        <v>102</v>
      </c>
      <c r="K40" s="88" t="s">
        <v>103</v>
      </c>
    </row>
    <row r="41" spans="1:11">
      <c r="A41" s="78">
        <f>E11*-1</f>
        <v>-1200000</v>
      </c>
      <c r="B41" s="119">
        <f>B26</f>
        <v>86027.065527065526</v>
      </c>
      <c r="C41" s="119">
        <f t="shared" ref="C41:J41" si="5">C26</f>
        <v>91855.568376068375</v>
      </c>
      <c r="D41" s="119">
        <f t="shared" si="5"/>
        <v>101647.64937606838</v>
      </c>
      <c r="E41" s="119">
        <f t="shared" si="5"/>
        <v>108125.3929860684</v>
      </c>
      <c r="F41" s="119">
        <f t="shared" si="5"/>
        <v>115035.87365016839</v>
      </c>
      <c r="G41" s="119">
        <f t="shared" si="5"/>
        <v>122407.25921348942</v>
      </c>
      <c r="H41" s="119">
        <f t="shared" si="5"/>
        <v>130269.51777295343</v>
      </c>
      <c r="I41" s="119">
        <f t="shared" si="5"/>
        <v>138654.53120144623</v>
      </c>
      <c r="J41" s="119">
        <f t="shared" si="5"/>
        <v>147596.21575888258</v>
      </c>
      <c r="K41" s="119">
        <f>K26+K35</f>
        <v>2015570.7763678422</v>
      </c>
    </row>
    <row r="42" spans="1:11">
      <c r="A42" s="125"/>
      <c r="B42" s="123"/>
    </row>
    <row r="43" spans="1:11">
      <c r="A43" t="s">
        <v>242</v>
      </c>
      <c r="B43" s="231">
        <f>IRR(A41:K41)</f>
        <v>0.124385551798047</v>
      </c>
    </row>
    <row r="44" spans="1:11">
      <c r="A44" t="s">
        <v>243</v>
      </c>
      <c r="B44" s="124">
        <f>NPV(H11,B41:K41)</f>
        <v>756403.2797137961</v>
      </c>
    </row>
    <row r="45" spans="1:11">
      <c r="A45" t="s">
        <v>244</v>
      </c>
      <c r="B45" s="124">
        <f>B44+A41</f>
        <v>-443596.7202862039</v>
      </c>
      <c r="C45" s="197"/>
    </row>
  </sheetData>
  <mergeCells count="13">
    <mergeCell ref="E34:F34"/>
    <mergeCell ref="E33:F33"/>
    <mergeCell ref="E36:F36"/>
    <mergeCell ref="E37:F37"/>
    <mergeCell ref="E30:F30"/>
    <mergeCell ref="E31:F31"/>
    <mergeCell ref="E32:F32"/>
    <mergeCell ref="A2:L2"/>
    <mergeCell ref="A5:B5"/>
    <mergeCell ref="D5:E5"/>
    <mergeCell ref="G5:H5"/>
    <mergeCell ref="D10:E10"/>
    <mergeCell ref="G10:H1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workbookViewId="0">
      <selection activeCell="H24" sqref="H24"/>
    </sheetView>
  </sheetViews>
  <sheetFormatPr baseColWidth="10" defaultColWidth="11" defaultRowHeight="13" outlineLevelRow="1" x14ac:dyDescent="0"/>
  <cols>
    <col min="1" max="1" width="23.42578125" bestFit="1" customWidth="1"/>
    <col min="2" max="3" width="11" bestFit="1" customWidth="1"/>
    <col min="4" max="4" width="14" bestFit="1" customWidth="1"/>
    <col min="5" max="5" width="11" bestFit="1" customWidth="1"/>
    <col min="7" max="7" width="11.7109375" bestFit="1" customWidth="1"/>
  </cols>
  <sheetData>
    <row r="1" spans="1:12" ht="14" thickBot="1"/>
    <row r="2" spans="1:12" ht="17" thickBot="1">
      <c r="A2" s="259" t="s">
        <v>268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6"/>
      <c r="D5" s="275" t="s">
        <v>200</v>
      </c>
      <c r="E5" s="268"/>
      <c r="G5" s="273" t="s">
        <v>54</v>
      </c>
      <c r="H5" s="276"/>
    </row>
    <row r="6" spans="1:12">
      <c r="A6" t="s">
        <v>64</v>
      </c>
      <c r="B6" s="145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59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58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58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58">
        <f>B8</f>
        <v>840000</v>
      </c>
    </row>
    <row r="13" spans="1:12">
      <c r="A13" t="s">
        <v>165</v>
      </c>
      <c r="B13" s="58">
        <f>APOD!G11</f>
        <v>7339.0519512498258</v>
      </c>
      <c r="D13" t="s">
        <v>53</v>
      </c>
      <c r="E13" s="58">
        <f>E11-E12</f>
        <v>360000</v>
      </c>
      <c r="G13" s="132" t="s">
        <v>124</v>
      </c>
    </row>
    <row r="14" spans="1:12">
      <c r="A14" t="s">
        <v>70</v>
      </c>
      <c r="B14" s="58">
        <f>APOD!G12</f>
        <v>88068.623414997914</v>
      </c>
      <c r="G14" t="s">
        <v>123</v>
      </c>
      <c r="H14" s="175">
        <f>'10 Yr BTCF'!I63</f>
        <v>0.25505284350098201</v>
      </c>
    </row>
    <row r="17" spans="1:10">
      <c r="A17" s="82" t="s">
        <v>130</v>
      </c>
    </row>
    <row r="18" spans="1:10">
      <c r="A18" s="291" t="s">
        <v>131</v>
      </c>
      <c r="B18" s="292" t="s">
        <v>132</v>
      </c>
      <c r="C18" s="285" t="s">
        <v>133</v>
      </c>
      <c r="D18" s="282" t="s">
        <v>138</v>
      </c>
      <c r="E18" s="285" t="s">
        <v>134</v>
      </c>
      <c r="F18" s="282" t="s">
        <v>139</v>
      </c>
      <c r="G18" s="285" t="s">
        <v>136</v>
      </c>
      <c r="H18" s="282" t="s">
        <v>140</v>
      </c>
      <c r="I18" s="285" t="s">
        <v>137</v>
      </c>
      <c r="J18" s="288" t="s">
        <v>305</v>
      </c>
    </row>
    <row r="19" spans="1:10">
      <c r="A19" s="291"/>
      <c r="B19" s="293"/>
      <c r="C19" s="286"/>
      <c r="D19" s="283"/>
      <c r="E19" s="286"/>
      <c r="F19" s="283"/>
      <c r="G19" s="286"/>
      <c r="H19" s="283"/>
      <c r="I19" s="286"/>
      <c r="J19" s="289"/>
    </row>
    <row r="20" spans="1:10">
      <c r="A20" s="291"/>
      <c r="B20" s="294"/>
      <c r="C20" s="287"/>
      <c r="D20" s="284"/>
      <c r="E20" s="287"/>
      <c r="F20" s="284"/>
      <c r="G20" s="287"/>
      <c r="H20" s="284"/>
      <c r="I20" s="287"/>
      <c r="J20" s="290"/>
    </row>
    <row r="21" spans="1:10">
      <c r="A21">
        <v>1</v>
      </c>
      <c r="B21" s="133">
        <f>E13</f>
        <v>360000</v>
      </c>
      <c r="C21" s="91" t="s">
        <v>306</v>
      </c>
      <c r="D21" s="133">
        <f>B21*$H$14</f>
        <v>91819.023660353516</v>
      </c>
      <c r="E21" s="91" t="s">
        <v>134</v>
      </c>
      <c r="F21" s="133">
        <f>B21+D21</f>
        <v>451819.0236603535</v>
      </c>
      <c r="G21" s="91" t="s">
        <v>135</v>
      </c>
      <c r="H21" s="133">
        <f>'10 Yr BTCF'!K48</f>
        <v>31931.376585002086</v>
      </c>
      <c r="I21" s="91" t="s">
        <v>307</v>
      </c>
      <c r="J21" s="134">
        <f>F21-H21</f>
        <v>419887.64707535144</v>
      </c>
    </row>
    <row r="22" spans="1:10">
      <c r="A22">
        <v>2</v>
      </c>
      <c r="B22" s="134">
        <f>J21</f>
        <v>419887.64707535144</v>
      </c>
      <c r="C22" s="91" t="s">
        <v>306</v>
      </c>
      <c r="D22" s="133">
        <f t="shared" ref="D22:D30" si="0">B22*$H$14</f>
        <v>107093.53833750518</v>
      </c>
      <c r="E22" s="91" t="s">
        <v>134</v>
      </c>
      <c r="F22" s="133">
        <f t="shared" ref="F22:F30" si="1">B22+D22</f>
        <v>526981.18541285663</v>
      </c>
      <c r="G22" s="91" t="s">
        <v>135</v>
      </c>
      <c r="H22" s="133">
        <f>'10 Yr BTCF'!K49</f>
        <v>40361.376585002086</v>
      </c>
      <c r="I22" s="91" t="s">
        <v>307</v>
      </c>
      <c r="J22" s="134">
        <f t="shared" ref="J22:J30" si="2">F22-H22</f>
        <v>486619.80882785458</v>
      </c>
    </row>
    <row r="23" spans="1:10">
      <c r="A23">
        <v>3</v>
      </c>
      <c r="B23" s="134">
        <f t="shared" ref="B23:B30" si="3">J22</f>
        <v>486619.80882785458</v>
      </c>
      <c r="C23" s="91" t="s">
        <v>306</v>
      </c>
      <c r="D23" s="133">
        <f t="shared" si="0"/>
        <v>124113.76594544857</v>
      </c>
      <c r="E23" s="91" t="s">
        <v>134</v>
      </c>
      <c r="F23" s="133">
        <f t="shared" si="1"/>
        <v>610733.57477330312</v>
      </c>
      <c r="G23" s="91" t="s">
        <v>135</v>
      </c>
      <c r="H23" s="133">
        <f>'10 Yr BTCF'!K50</f>
        <v>55426.116585002077</v>
      </c>
      <c r="I23" s="91" t="s">
        <v>307</v>
      </c>
      <c r="J23" s="134">
        <f t="shared" si="2"/>
        <v>555307.45818830107</v>
      </c>
    </row>
    <row r="24" spans="1:10">
      <c r="A24">
        <v>4</v>
      </c>
      <c r="B24" s="134">
        <f t="shared" si="3"/>
        <v>555307.45818830107</v>
      </c>
      <c r="C24" s="91" t="s">
        <v>306</v>
      </c>
      <c r="D24" s="133">
        <f t="shared" si="0"/>
        <v>141632.74622822888</v>
      </c>
      <c r="E24" s="91" t="s">
        <v>134</v>
      </c>
      <c r="F24" s="133">
        <f t="shared" si="1"/>
        <v>696940.20441652997</v>
      </c>
      <c r="G24" s="91" t="s">
        <v>135</v>
      </c>
      <c r="H24" s="133">
        <f>'10 Yr BTCF'!K51</f>
        <v>65391.875985002116</v>
      </c>
      <c r="I24" s="91" t="s">
        <v>307</v>
      </c>
      <c r="J24" s="134">
        <f t="shared" si="2"/>
        <v>631548.32843152783</v>
      </c>
    </row>
    <row r="25" spans="1:10">
      <c r="A25">
        <v>5</v>
      </c>
      <c r="B25" s="134">
        <f t="shared" si="3"/>
        <v>631548.32843152783</v>
      </c>
      <c r="C25" s="91" t="s">
        <v>306</v>
      </c>
      <c r="D25" s="133">
        <f t="shared" si="0"/>
        <v>161078.19697475326</v>
      </c>
      <c r="E25" s="91" t="s">
        <v>134</v>
      </c>
      <c r="F25" s="133">
        <f t="shared" si="1"/>
        <v>792626.52540628111</v>
      </c>
      <c r="G25" s="91" t="s">
        <v>135</v>
      </c>
      <c r="H25" s="133">
        <f>'10 Yr BTCF'!K52</f>
        <v>76023.384699002083</v>
      </c>
      <c r="I25" s="91" t="s">
        <v>307</v>
      </c>
      <c r="J25" s="134">
        <f t="shared" si="2"/>
        <v>716603.14070727909</v>
      </c>
    </row>
    <row r="26" spans="1:10">
      <c r="A26">
        <v>6</v>
      </c>
      <c r="B26" s="134">
        <f t="shared" si="3"/>
        <v>716603.14070727909</v>
      </c>
      <c r="C26" s="91" t="s">
        <v>306</v>
      </c>
      <c r="D26" s="133">
        <f t="shared" si="0"/>
        <v>182771.66869912585</v>
      </c>
      <c r="E26" s="91" t="s">
        <v>134</v>
      </c>
      <c r="F26" s="133">
        <f t="shared" si="1"/>
        <v>899374.80940640497</v>
      </c>
      <c r="G26" s="91" t="s">
        <v>135</v>
      </c>
      <c r="H26" s="133">
        <f>'10 Yr BTCF'!K53</f>
        <v>87363.977873342141</v>
      </c>
      <c r="I26" s="91" t="s">
        <v>307</v>
      </c>
      <c r="J26" s="134">
        <f t="shared" si="2"/>
        <v>812010.83153306285</v>
      </c>
    </row>
    <row r="27" spans="1:10">
      <c r="A27">
        <v>7</v>
      </c>
      <c r="B27" s="134">
        <f t="shared" si="3"/>
        <v>812010.83153306285</v>
      </c>
      <c r="C27" s="91" t="s">
        <v>306</v>
      </c>
      <c r="D27" s="133">
        <f t="shared" si="0"/>
        <v>207105.67153610455</v>
      </c>
      <c r="E27" s="91" t="s">
        <v>134</v>
      </c>
      <c r="F27" s="133">
        <f t="shared" si="1"/>
        <v>1019116.5030691674</v>
      </c>
      <c r="G27" s="91" t="s">
        <v>135</v>
      </c>
      <c r="H27" s="133">
        <f>'10 Yr BTCF'!K54</f>
        <v>99459.760272517538</v>
      </c>
      <c r="I27" s="91" t="s">
        <v>307</v>
      </c>
      <c r="J27" s="134">
        <f t="shared" si="2"/>
        <v>919656.74279664981</v>
      </c>
    </row>
    <row r="28" spans="1:10">
      <c r="A28">
        <v>8</v>
      </c>
      <c r="B28" s="134">
        <f t="shared" si="3"/>
        <v>919656.74279664981</v>
      </c>
      <c r="C28" s="91" t="s">
        <v>306</v>
      </c>
      <c r="D28" s="133">
        <f t="shared" si="0"/>
        <v>234561.06729513677</v>
      </c>
      <c r="E28" s="91" t="s">
        <v>134</v>
      </c>
      <c r="F28" s="133">
        <f t="shared" si="1"/>
        <v>1154217.8100917866</v>
      </c>
      <c r="G28" s="91" t="s">
        <v>135</v>
      </c>
      <c r="H28" s="133">
        <f>'10 Yr BTCF'!K55</f>
        <v>112359.78093173724</v>
      </c>
      <c r="I28" s="91" t="s">
        <v>307</v>
      </c>
      <c r="J28" s="134">
        <f t="shared" si="2"/>
        <v>1041858.0291600493</v>
      </c>
    </row>
    <row r="29" spans="1:10">
      <c r="A29">
        <v>9</v>
      </c>
      <c r="B29" s="134">
        <f t="shared" si="3"/>
        <v>1041858.0291600493</v>
      </c>
      <c r="C29" s="91" t="s">
        <v>306</v>
      </c>
      <c r="D29" s="133">
        <f t="shared" si="0"/>
        <v>265728.85286159959</v>
      </c>
      <c r="E29" s="91" t="s">
        <v>134</v>
      </c>
      <c r="F29" s="133">
        <f t="shared" si="1"/>
        <v>1307586.8820216488</v>
      </c>
      <c r="G29" s="91" t="s">
        <v>135</v>
      </c>
      <c r="H29" s="133">
        <f>'10 Yr BTCF'!K56</f>
        <v>126116.21871240853</v>
      </c>
      <c r="I29" s="91" t="s">
        <v>307</v>
      </c>
      <c r="J29" s="134">
        <f t="shared" si="2"/>
        <v>1181470.6633092402</v>
      </c>
    </row>
    <row r="30" spans="1:10">
      <c r="A30">
        <v>10</v>
      </c>
      <c r="B30" s="134">
        <f t="shared" si="3"/>
        <v>1181470.6633092402</v>
      </c>
      <c r="C30" s="91" t="s">
        <v>306</v>
      </c>
      <c r="D30" s="133">
        <f t="shared" si="0"/>
        <v>301337.45219001308</v>
      </c>
      <c r="E30" s="91" t="s">
        <v>134</v>
      </c>
      <c r="F30" s="133">
        <f t="shared" si="1"/>
        <v>1482808.1154992534</v>
      </c>
      <c r="G30" s="91" t="s">
        <v>135</v>
      </c>
      <c r="H30" s="133">
        <f>'10 Yr BTCF'!K57</f>
        <v>1482808.1154992576</v>
      </c>
      <c r="I30" s="91" t="s">
        <v>307</v>
      </c>
      <c r="J30" s="134">
        <f t="shared" si="2"/>
        <v>-4.1909515857696533E-9</v>
      </c>
    </row>
    <row r="35" spans="1:5">
      <c r="A35" s="281" t="s">
        <v>154</v>
      </c>
      <c r="B35" s="252"/>
      <c r="C35" s="253"/>
    </row>
    <row r="36" spans="1:5">
      <c r="A36" s="92" t="s">
        <v>155</v>
      </c>
      <c r="B36" s="136">
        <f>NPV(B56,C52:L52)</f>
        <v>221598.75003217914</v>
      </c>
      <c r="C36" s="139">
        <f>B36/B38</f>
        <v>0.61555208342271894</v>
      </c>
    </row>
    <row r="37" spans="1:5">
      <c r="A37" s="93" t="s">
        <v>156</v>
      </c>
      <c r="B37" s="135">
        <f>NPV(B56,C54:L54)</f>
        <v>138401.24996782138</v>
      </c>
      <c r="C37" s="140">
        <f>B37/B38</f>
        <v>0.38444791657728106</v>
      </c>
    </row>
    <row r="38" spans="1:5">
      <c r="A38" s="94" t="s">
        <v>230</v>
      </c>
      <c r="B38" s="137">
        <f>B36+B37</f>
        <v>360000.00000000052</v>
      </c>
      <c r="C38" s="138">
        <f>C36+C37</f>
        <v>1</v>
      </c>
    </row>
    <row r="41" spans="1:5">
      <c r="A41" s="281" t="s">
        <v>231</v>
      </c>
      <c r="B41" s="252"/>
      <c r="C41" s="253"/>
    </row>
    <row r="42" spans="1:5">
      <c r="A42" s="95" t="s">
        <v>232</v>
      </c>
      <c r="B42" s="190">
        <f>C72</f>
        <v>87127.999524015613</v>
      </c>
      <c r="C42" s="194">
        <f>B42/B47</f>
        <v>0.24202222090004302</v>
      </c>
      <c r="D42" s="90" t="s">
        <v>74</v>
      </c>
      <c r="E42" s="233">
        <f>'10 Yr BTCF'!K28/'10 Yr BTCF'!E11</f>
        <v>1.8522161267243911</v>
      </c>
    </row>
    <row r="43" spans="1:5">
      <c r="A43" s="96" t="s">
        <v>233</v>
      </c>
      <c r="B43" s="206">
        <f>D72</f>
        <v>109314.83160232456</v>
      </c>
      <c r="C43" s="195">
        <f>B43/B47</f>
        <v>0.30365231000645665</v>
      </c>
      <c r="D43" s="90" t="s">
        <v>74</v>
      </c>
    </row>
    <row r="44" spans="1:5">
      <c r="A44" s="96" t="s">
        <v>225</v>
      </c>
      <c r="B44" s="191">
        <f>E72</f>
        <v>112283.91842985457</v>
      </c>
      <c r="C44" s="195">
        <f>B44/B47</f>
        <v>0.31189977341626224</v>
      </c>
      <c r="D44" s="90" t="s">
        <v>73</v>
      </c>
    </row>
    <row r="45" spans="1:5">
      <c r="A45" s="96" t="s">
        <v>226</v>
      </c>
      <c r="B45" s="191">
        <f>F72</f>
        <v>14146.889653912747</v>
      </c>
      <c r="C45" s="195">
        <f>B45/B47</f>
        <v>3.9296915705313129E-2</v>
      </c>
      <c r="D45" s="90" t="s">
        <v>73</v>
      </c>
    </row>
    <row r="46" spans="1:5">
      <c r="A46" s="96" t="s">
        <v>227</v>
      </c>
      <c r="B46" s="192">
        <f>G72</f>
        <v>37126.360789892999</v>
      </c>
      <c r="C46" s="195">
        <f>B46/B47</f>
        <v>0.10312877997192485</v>
      </c>
      <c r="D46" s="90" t="s">
        <v>73</v>
      </c>
    </row>
    <row r="47" spans="1:5">
      <c r="A47" s="94" t="s">
        <v>72</v>
      </c>
      <c r="B47" s="193">
        <f>SUM(B42:B46)</f>
        <v>360000.00000000052</v>
      </c>
      <c r="C47" s="196">
        <f>SUM(C42:C46)</f>
        <v>0.99999999999999989</v>
      </c>
      <c r="D47" s="90" t="s">
        <v>73</v>
      </c>
    </row>
    <row r="51" spans="1:12" outlineLevel="1">
      <c r="A51" s="141" t="s">
        <v>125</v>
      </c>
      <c r="B51" s="23" t="s">
        <v>126</v>
      </c>
      <c r="C51" s="23" t="s">
        <v>127</v>
      </c>
      <c r="D51" s="23" t="s">
        <v>121</v>
      </c>
      <c r="E51" s="23" t="s">
        <v>122</v>
      </c>
      <c r="F51" s="23" t="s">
        <v>97</v>
      </c>
      <c r="G51" s="23" t="s">
        <v>98</v>
      </c>
      <c r="H51" s="23" t="s">
        <v>99</v>
      </c>
      <c r="I51" s="23" t="s">
        <v>100</v>
      </c>
      <c r="J51" s="23" t="s">
        <v>101</v>
      </c>
      <c r="K51" s="23" t="s">
        <v>102</v>
      </c>
      <c r="L51" s="23" t="s">
        <v>103</v>
      </c>
    </row>
    <row r="52" spans="1:12" outlineLevel="1">
      <c r="A52" s="23"/>
      <c r="B52" s="102">
        <f>E13*-1</f>
        <v>-360000</v>
      </c>
      <c r="C52" s="142">
        <f>'10 Yr BTCF'!B25</f>
        <v>31931.376585002086</v>
      </c>
      <c r="D52" s="142">
        <f>'10 Yr BTCF'!C25</f>
        <v>40361.376585002086</v>
      </c>
      <c r="E52" s="142">
        <f>'10 Yr BTCF'!D25</f>
        <v>55426.116585002077</v>
      </c>
      <c r="F52" s="142">
        <f>'10 Yr BTCF'!E25</f>
        <v>65391.875985002116</v>
      </c>
      <c r="G52" s="142">
        <f>'10 Yr BTCF'!F25</f>
        <v>76023.384699002083</v>
      </c>
      <c r="H52" s="142">
        <f>'10 Yr BTCF'!G25</f>
        <v>87363.977873342141</v>
      </c>
      <c r="I52" s="142">
        <f>'10 Yr BTCF'!H25</f>
        <v>99459.760272517538</v>
      </c>
      <c r="J52" s="142">
        <f>'10 Yr BTCF'!I25</f>
        <v>112359.78093173724</v>
      </c>
      <c r="K52" s="142">
        <f>'10 Yr BTCF'!J25</f>
        <v>126116.21871240853</v>
      </c>
      <c r="L52" s="142">
        <f>'10 Yr BTCF'!K25</f>
        <v>140784.57943591347</v>
      </c>
    </row>
    <row r="53" spans="1:12" outlineLevel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outlineLevel="1">
      <c r="A54" s="141" t="s">
        <v>128</v>
      </c>
      <c r="B54" s="23"/>
      <c r="C54" s="23">
        <f>0</f>
        <v>0</v>
      </c>
      <c r="D54" s="23">
        <f>0</f>
        <v>0</v>
      </c>
      <c r="E54" s="23">
        <f>0</f>
        <v>0</v>
      </c>
      <c r="F54" s="23">
        <f>0</f>
        <v>0</v>
      </c>
      <c r="G54" s="23">
        <f>0</f>
        <v>0</v>
      </c>
      <c r="H54" s="23">
        <f>0</f>
        <v>0</v>
      </c>
      <c r="I54" s="23">
        <f>0</f>
        <v>0</v>
      </c>
      <c r="J54" s="23">
        <f>0</f>
        <v>0</v>
      </c>
      <c r="K54" s="23">
        <f>0</f>
        <v>0</v>
      </c>
      <c r="L54" s="142">
        <f>'10 Yr BTCF'!K31</f>
        <v>1342023.5360633442</v>
      </c>
    </row>
    <row r="55" spans="1:12" outlineLevel="1">
      <c r="A55" s="14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outlineLevel="1">
      <c r="A56" s="141" t="s">
        <v>129</v>
      </c>
      <c r="B56" s="143">
        <f>H14</f>
        <v>0.25505284350098201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outlineLevel="1">
      <c r="A57" s="141" t="s">
        <v>31</v>
      </c>
      <c r="B57" s="144">
        <f>NPV(B56,C52:L52)</f>
        <v>221598.75003217914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outlineLevel="1">
      <c r="A58" s="141" t="s">
        <v>32</v>
      </c>
      <c r="B58" s="144">
        <f>NPV(B56,C54:L54)</f>
        <v>138401.24996782138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60" spans="1:12" outlineLevel="1">
      <c r="B60" s="241" t="s">
        <v>282</v>
      </c>
      <c r="C60" s="241" t="s">
        <v>283</v>
      </c>
      <c r="D60" s="241" t="s">
        <v>284</v>
      </c>
      <c r="E60" s="241" t="s">
        <v>285</v>
      </c>
      <c r="F60" s="241" t="s">
        <v>286</v>
      </c>
      <c r="G60" s="241" t="s">
        <v>287</v>
      </c>
      <c r="H60" s="241"/>
      <c r="I60" s="241" t="s">
        <v>288</v>
      </c>
    </row>
    <row r="61" spans="1:12" outlineLevel="1">
      <c r="B61" s="241">
        <v>1</v>
      </c>
      <c r="C61" s="242">
        <v>0</v>
      </c>
      <c r="D61" s="243">
        <f>I61-E61</f>
        <v>0</v>
      </c>
      <c r="E61" s="242">
        <f>$C$52</f>
        <v>31931.376585002086</v>
      </c>
      <c r="F61" s="242">
        <v>0</v>
      </c>
      <c r="G61" s="242">
        <v>0</v>
      </c>
      <c r="H61" s="241"/>
      <c r="I61" s="242">
        <f>C52</f>
        <v>31931.376585002086</v>
      </c>
    </row>
    <row r="62" spans="1:12" outlineLevel="1">
      <c r="B62" s="241">
        <v>2</v>
      </c>
      <c r="C62" s="242">
        <v>0</v>
      </c>
      <c r="D62" s="243">
        <f t="shared" ref="D62:D70" si="4">I62-E62</f>
        <v>8430</v>
      </c>
      <c r="E62" s="242">
        <f t="shared" ref="E62:E70" si="5">$C$52</f>
        <v>31931.376585002086</v>
      </c>
      <c r="F62" s="242">
        <v>0</v>
      </c>
      <c r="G62" s="242">
        <v>0</v>
      </c>
      <c r="H62" s="241"/>
      <c r="I62" s="242">
        <f>D52</f>
        <v>40361.376585002086</v>
      </c>
    </row>
    <row r="63" spans="1:12" outlineLevel="1">
      <c r="B63" s="241">
        <v>3</v>
      </c>
      <c r="C63" s="242">
        <v>0</v>
      </c>
      <c r="D63" s="243">
        <f t="shared" si="4"/>
        <v>23494.739999999991</v>
      </c>
      <c r="E63" s="242">
        <f t="shared" si="5"/>
        <v>31931.376585002086</v>
      </c>
      <c r="F63" s="242">
        <v>0</v>
      </c>
      <c r="G63" s="242">
        <v>0</v>
      </c>
      <c r="H63" s="241"/>
      <c r="I63" s="242">
        <f>E52</f>
        <v>55426.116585002077</v>
      </c>
    </row>
    <row r="64" spans="1:12" outlineLevel="1">
      <c r="B64" s="241">
        <v>4</v>
      </c>
      <c r="C64" s="242">
        <v>0</v>
      </c>
      <c r="D64" s="243">
        <f t="shared" si="4"/>
        <v>33460.49940000003</v>
      </c>
      <c r="E64" s="242">
        <f t="shared" si="5"/>
        <v>31931.376585002086</v>
      </c>
      <c r="F64" s="242">
        <v>0</v>
      </c>
      <c r="G64" s="242">
        <v>0</v>
      </c>
      <c r="H64" s="241"/>
      <c r="I64" s="242">
        <f>F52</f>
        <v>65391.875985002116</v>
      </c>
    </row>
    <row r="65" spans="2:9" outlineLevel="1">
      <c r="B65" s="241">
        <v>5</v>
      </c>
      <c r="C65" s="242">
        <v>0</v>
      </c>
      <c r="D65" s="243">
        <f t="shared" si="4"/>
        <v>44092.008113999997</v>
      </c>
      <c r="E65" s="242">
        <f t="shared" si="5"/>
        <v>31931.376585002086</v>
      </c>
      <c r="F65" s="242">
        <v>0</v>
      </c>
      <c r="G65" s="242">
        <v>0</v>
      </c>
      <c r="H65" s="241"/>
      <c r="I65" s="242">
        <f>G52</f>
        <v>76023.384699002083</v>
      </c>
    </row>
    <row r="66" spans="2:9" outlineLevel="1">
      <c r="B66" s="241">
        <v>6</v>
      </c>
      <c r="C66" s="242">
        <v>0</v>
      </c>
      <c r="D66" s="243">
        <f t="shared" si="4"/>
        <v>55432.601288340054</v>
      </c>
      <c r="E66" s="242">
        <f t="shared" si="5"/>
        <v>31931.376585002086</v>
      </c>
      <c r="F66" s="242">
        <v>0</v>
      </c>
      <c r="G66" s="242">
        <v>0</v>
      </c>
      <c r="H66" s="241"/>
      <c r="I66" s="242">
        <f>H52</f>
        <v>87363.977873342141</v>
      </c>
    </row>
    <row r="67" spans="2:9" outlineLevel="1">
      <c r="B67" s="241">
        <v>7</v>
      </c>
      <c r="C67" s="242">
        <v>0</v>
      </c>
      <c r="D67" s="243">
        <f t="shared" si="4"/>
        <v>67528.383687515452</v>
      </c>
      <c r="E67" s="242">
        <f t="shared" si="5"/>
        <v>31931.376585002086</v>
      </c>
      <c r="F67" s="242">
        <v>0</v>
      </c>
      <c r="G67" s="242">
        <v>0</v>
      </c>
      <c r="H67" s="241"/>
      <c r="I67" s="242">
        <f>I52</f>
        <v>99459.760272517538</v>
      </c>
    </row>
    <row r="68" spans="2:9" outlineLevel="1">
      <c r="B68" s="241">
        <v>8</v>
      </c>
      <c r="C68" s="242">
        <v>0</v>
      </c>
      <c r="D68" s="243">
        <f t="shared" si="4"/>
        <v>80428.404346735158</v>
      </c>
      <c r="E68" s="242">
        <f t="shared" si="5"/>
        <v>31931.376585002086</v>
      </c>
      <c r="F68" s="242">
        <v>0</v>
      </c>
      <c r="G68" s="242">
        <v>0</v>
      </c>
      <c r="H68" s="241"/>
      <c r="I68" s="242">
        <f>J52</f>
        <v>112359.78093173724</v>
      </c>
    </row>
    <row r="69" spans="2:9" outlineLevel="1">
      <c r="B69" s="241">
        <v>9</v>
      </c>
      <c r="C69" s="242">
        <v>0</v>
      </c>
      <c r="D69" s="243">
        <f t="shared" si="4"/>
        <v>94184.842127406446</v>
      </c>
      <c r="E69" s="242">
        <f t="shared" si="5"/>
        <v>31931.376585002086</v>
      </c>
      <c r="F69" s="242">
        <v>0</v>
      </c>
      <c r="G69" s="242">
        <v>0</v>
      </c>
      <c r="H69" s="241"/>
      <c r="I69" s="242">
        <f>K52</f>
        <v>126116.21871240853</v>
      </c>
    </row>
    <row r="70" spans="2:9" outlineLevel="1">
      <c r="B70" s="241">
        <v>10</v>
      </c>
      <c r="C70" s="242">
        <f>'10 Yr BTCF'!K28-'10 Yr BTCF'!K29-'10 Yr BTCF'!B6</f>
        <v>844846.60390372784</v>
      </c>
      <c r="D70" s="243">
        <f t="shared" si="4"/>
        <v>108853.20285091139</v>
      </c>
      <c r="E70" s="242">
        <f t="shared" si="5"/>
        <v>31931.376585002086</v>
      </c>
      <c r="F70" s="242">
        <f>'10 Yr BTCF'!E12-'10 Yr BTCF'!K30</f>
        <v>137176.93215961626</v>
      </c>
      <c r="G70" s="242">
        <f>E13</f>
        <v>360000</v>
      </c>
      <c r="H70" s="241"/>
      <c r="I70" s="242">
        <f>L52</f>
        <v>140784.57943591347</v>
      </c>
    </row>
    <row r="71" spans="2:9" outlineLevel="1">
      <c r="B71" s="241"/>
      <c r="C71" s="241"/>
      <c r="D71" s="241"/>
      <c r="E71" s="241"/>
      <c r="F71" s="241"/>
      <c r="G71" s="241"/>
      <c r="H71" s="241"/>
      <c r="I71" s="241"/>
    </row>
    <row r="72" spans="2:9" outlineLevel="1">
      <c r="B72" s="241"/>
      <c r="C72" s="244">
        <f>NPV(H14,C61:C70)</f>
        <v>87127.999524015613</v>
      </c>
      <c r="D72" s="244">
        <f>NPV(H14,D61:D70)</f>
        <v>109314.83160232456</v>
      </c>
      <c r="E72" s="244">
        <f>NPV(H14,E61:E70)</f>
        <v>112283.91842985457</v>
      </c>
      <c r="F72" s="244">
        <f>NPV(H14,F61:F70)</f>
        <v>14146.889653912747</v>
      </c>
      <c r="G72" s="244">
        <f>NPV(H14,G61:G70)</f>
        <v>37126.360789892999</v>
      </c>
      <c r="H72" s="241"/>
      <c r="I72" s="241"/>
    </row>
  </sheetData>
  <mergeCells count="18">
    <mergeCell ref="A2:L2"/>
    <mergeCell ref="A5:B5"/>
    <mergeCell ref="D5:E5"/>
    <mergeCell ref="G5:H5"/>
    <mergeCell ref="D10:E10"/>
    <mergeCell ref="G10:H10"/>
    <mergeCell ref="I18:I20"/>
    <mergeCell ref="J18:J20"/>
    <mergeCell ref="A18:A20"/>
    <mergeCell ref="B18:B20"/>
    <mergeCell ref="C18:C20"/>
    <mergeCell ref="D18:D20"/>
    <mergeCell ref="E18:E20"/>
    <mergeCell ref="A35:C35"/>
    <mergeCell ref="A41:C41"/>
    <mergeCell ref="F18:F20"/>
    <mergeCell ref="G18:G20"/>
    <mergeCell ref="H18:H2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topLeftCell="A19" workbookViewId="0">
      <selection activeCell="I16" sqref="I16"/>
    </sheetView>
  </sheetViews>
  <sheetFormatPr baseColWidth="10" defaultColWidth="11" defaultRowHeight="13" x14ac:dyDescent="0"/>
  <cols>
    <col min="4" max="4" width="13.85546875" customWidth="1"/>
    <col min="12" max="12" width="17.140625" customWidth="1"/>
  </cols>
  <sheetData>
    <row r="1" spans="2:13" ht="14" thickBot="1"/>
    <row r="2" spans="2:13" ht="17" customHeight="1" thickBot="1">
      <c r="B2" s="297" t="s">
        <v>224</v>
      </c>
      <c r="C2" s="298"/>
      <c r="D2" s="298"/>
      <c r="E2" s="298"/>
      <c r="F2" s="298"/>
      <c r="G2" s="304"/>
      <c r="H2" s="304"/>
      <c r="I2" s="304"/>
      <c r="J2" s="305"/>
    </row>
    <row r="3" spans="2:13" ht="14" thickBot="1">
      <c r="B3" s="185"/>
      <c r="C3" s="186"/>
      <c r="D3" s="186"/>
      <c r="E3" s="187"/>
      <c r="G3" s="213"/>
      <c r="H3" s="214"/>
      <c r="I3" s="214"/>
      <c r="J3" s="212"/>
    </row>
    <row r="4" spans="2:13" ht="14" thickBot="1">
      <c r="B4" s="162"/>
      <c r="C4" s="300" t="s">
        <v>80</v>
      </c>
      <c r="D4" s="301"/>
      <c r="E4" s="163"/>
      <c r="G4" s="178"/>
      <c r="H4" s="302" t="s">
        <v>308</v>
      </c>
      <c r="I4" s="303"/>
      <c r="J4" s="177"/>
      <c r="L4" s="295" t="s">
        <v>235</v>
      </c>
      <c r="M4" s="296"/>
    </row>
    <row r="5" spans="2:13" ht="14" thickBot="1">
      <c r="B5" s="162"/>
      <c r="C5" s="300" t="s">
        <v>79</v>
      </c>
      <c r="D5" s="301"/>
      <c r="E5" s="163"/>
      <c r="G5" s="178"/>
      <c r="H5" s="302" t="s">
        <v>79</v>
      </c>
      <c r="I5" s="303"/>
      <c r="J5" s="177"/>
      <c r="L5" s="189" t="s">
        <v>236</v>
      </c>
      <c r="M5" s="204">
        <v>0.05</v>
      </c>
    </row>
    <row r="6" spans="2:13" ht="14" thickBot="1">
      <c r="B6" s="162"/>
      <c r="C6" s="176" t="s">
        <v>82</v>
      </c>
      <c r="D6" s="160" t="s">
        <v>83</v>
      </c>
      <c r="E6" s="163"/>
      <c r="G6" s="178"/>
      <c r="H6" s="188" t="s">
        <v>82</v>
      </c>
      <c r="I6" s="211" t="s">
        <v>83</v>
      </c>
      <c r="J6" s="177"/>
      <c r="L6" s="189" t="s">
        <v>166</v>
      </c>
      <c r="M6" s="204">
        <v>0.1</v>
      </c>
    </row>
    <row r="7" spans="2:13" ht="14" thickBot="1">
      <c r="B7" s="162"/>
      <c r="C7" s="161" t="s">
        <v>84</v>
      </c>
      <c r="D7" s="198">
        <f>'10 Yr BTCF'!B68</f>
        <v>-1200000</v>
      </c>
      <c r="E7" s="170"/>
      <c r="G7" s="178"/>
      <c r="H7" s="212" t="s">
        <v>241</v>
      </c>
      <c r="I7" s="215">
        <f>'10 Yr BTCF'!E13*-1</f>
        <v>-360000</v>
      </c>
      <c r="J7" s="177"/>
    </row>
    <row r="8" spans="2:13" ht="14" thickBot="1">
      <c r="B8" s="162"/>
      <c r="C8" s="163" t="s">
        <v>120</v>
      </c>
      <c r="D8" s="198">
        <f>'10 Yr BTCF'!B69</f>
        <v>120000</v>
      </c>
      <c r="E8" s="170"/>
      <c r="G8" s="178"/>
      <c r="H8" s="177" t="s">
        <v>120</v>
      </c>
      <c r="I8" s="216">
        <f>'10 Yr IRR Profile &amp; Partition'!I61</f>
        <v>31931.376585002086</v>
      </c>
      <c r="J8" s="177"/>
    </row>
    <row r="9" spans="2:13" ht="14" thickBot="1">
      <c r="B9" s="162"/>
      <c r="C9" s="163" t="s">
        <v>121</v>
      </c>
      <c r="D9" s="198">
        <f>'10 Yr BTCF'!B70</f>
        <v>128430</v>
      </c>
      <c r="E9" s="170"/>
      <c r="G9" s="178"/>
      <c r="H9" s="177" t="s">
        <v>121</v>
      </c>
      <c r="I9" s="216">
        <f>'10 Yr IRR Profile &amp; Partition'!I62</f>
        <v>40361.376585002086</v>
      </c>
      <c r="J9" s="177"/>
    </row>
    <row r="10" spans="2:13" ht="14" thickBot="1">
      <c r="B10" s="162"/>
      <c r="C10" s="163" t="s">
        <v>122</v>
      </c>
      <c r="D10" s="198">
        <f>'10 Yr BTCF'!B71</f>
        <v>143494.74</v>
      </c>
      <c r="E10" s="170"/>
      <c r="G10" s="178"/>
      <c r="H10" s="177" t="s">
        <v>122</v>
      </c>
      <c r="I10" s="216">
        <f>'10 Yr IRR Profile &amp; Partition'!I63</f>
        <v>55426.116585002077</v>
      </c>
      <c r="J10" s="177"/>
    </row>
    <row r="11" spans="2:13" ht="14" thickBot="1">
      <c r="B11" s="162"/>
      <c r="C11" s="163" t="s">
        <v>97</v>
      </c>
      <c r="D11" s="198">
        <f>'10 Yr BTCF'!B72</f>
        <v>153460.49940000003</v>
      </c>
      <c r="E11" s="170"/>
      <c r="G11" s="178"/>
      <c r="H11" s="177" t="s">
        <v>97</v>
      </c>
      <c r="I11" s="216">
        <f>'10 Yr IRR Profile &amp; Partition'!I64</f>
        <v>65391.875985002116</v>
      </c>
      <c r="J11" s="177"/>
    </row>
    <row r="12" spans="2:13" ht="14" thickBot="1">
      <c r="B12" s="162"/>
      <c r="C12" s="163" t="s">
        <v>98</v>
      </c>
      <c r="D12" s="198">
        <f>'10 Yr BTCF'!B73</f>
        <v>164092.008114</v>
      </c>
      <c r="E12" s="170"/>
      <c r="G12" s="178"/>
      <c r="H12" s="177" t="s">
        <v>98</v>
      </c>
      <c r="I12" s="216">
        <f>'10 Yr IRR Profile &amp; Partition'!I65</f>
        <v>76023.384699002083</v>
      </c>
      <c r="J12" s="177"/>
    </row>
    <row r="13" spans="2:13" ht="14" thickBot="1">
      <c r="B13" s="162"/>
      <c r="C13" s="163" t="s">
        <v>99</v>
      </c>
      <c r="D13" s="198">
        <f>'10 Yr BTCF'!B74</f>
        <v>175432.60128834005</v>
      </c>
      <c r="E13" s="170"/>
      <c r="G13" s="178"/>
      <c r="H13" s="177" t="s">
        <v>99</v>
      </c>
      <c r="I13" s="216">
        <f>'10 Yr IRR Profile &amp; Partition'!I66</f>
        <v>87363.977873342141</v>
      </c>
      <c r="J13" s="177"/>
    </row>
    <row r="14" spans="2:13" ht="14" thickBot="1">
      <c r="B14" s="162"/>
      <c r="C14" s="163" t="s">
        <v>100</v>
      </c>
      <c r="D14" s="198">
        <f>'10 Yr BTCF'!B75</f>
        <v>187528.38368751545</v>
      </c>
      <c r="E14" s="170"/>
      <c r="G14" s="178"/>
      <c r="H14" s="177" t="s">
        <v>100</v>
      </c>
      <c r="I14" s="216">
        <f>'10 Yr IRR Profile &amp; Partition'!I67</f>
        <v>99459.760272517538</v>
      </c>
      <c r="J14" s="177"/>
    </row>
    <row r="15" spans="2:13" ht="14" thickBot="1">
      <c r="B15" s="162"/>
      <c r="C15" s="163" t="s">
        <v>101</v>
      </c>
      <c r="D15" s="198">
        <f>'10 Yr BTCF'!B76</f>
        <v>200428.40434673516</v>
      </c>
      <c r="E15" s="170"/>
      <c r="G15" s="178"/>
      <c r="H15" s="177" t="s">
        <v>101</v>
      </c>
      <c r="I15" s="216">
        <f>'10 Yr IRR Profile &amp; Partition'!I68</f>
        <v>112359.78093173724</v>
      </c>
      <c r="J15" s="177"/>
    </row>
    <row r="16" spans="2:13" ht="14" thickBot="1">
      <c r="B16" s="162"/>
      <c r="C16" s="163" t="s">
        <v>102</v>
      </c>
      <c r="D16" s="198">
        <f>'10 Yr BTCF'!B77</f>
        <v>214184.84212740645</v>
      </c>
      <c r="E16" s="170"/>
      <c r="G16" s="178"/>
      <c r="H16" s="177" t="s">
        <v>102</v>
      </c>
      <c r="I16" s="216">
        <f>'10 Yr IRR Profile &amp; Partition'!I69</f>
        <v>126116.21871240853</v>
      </c>
      <c r="J16" s="177"/>
    </row>
    <row r="17" spans="2:10" ht="14" thickBot="1">
      <c r="B17" s="162"/>
      <c r="C17" s="163" t="s">
        <v>103</v>
      </c>
      <c r="D17" s="198">
        <f>'10 Yr BTCF'!B78</f>
        <v>2273699.8067546394</v>
      </c>
      <c r="E17" s="170"/>
      <c r="G17" s="178"/>
      <c r="H17" s="177" t="s">
        <v>103</v>
      </c>
      <c r="I17" s="216">
        <f>'10 Yr BTCF'!K40</f>
        <v>1482808.1154992576</v>
      </c>
      <c r="J17" s="177"/>
    </row>
    <row r="18" spans="2:10" ht="14" thickBot="1">
      <c r="B18" s="162"/>
      <c r="C18" s="164"/>
      <c r="D18" s="171"/>
      <c r="E18" s="163"/>
      <c r="G18" s="178"/>
      <c r="H18" s="208"/>
      <c r="I18" s="209"/>
      <c r="J18" s="177"/>
    </row>
    <row r="19" spans="2:10" ht="14" thickBot="1">
      <c r="B19" s="162"/>
      <c r="C19" s="169" t="s">
        <v>85</v>
      </c>
      <c r="D19" s="199">
        <f>IRR(D7:D17)</f>
        <v>0.16351452638154251</v>
      </c>
      <c r="E19" s="170"/>
      <c r="G19" s="178"/>
      <c r="H19" s="179" t="s">
        <v>310</v>
      </c>
      <c r="I19" s="223">
        <f>IRR(I7:I17)</f>
        <v>0.25505284350098201</v>
      </c>
      <c r="J19" s="177"/>
    </row>
    <row r="20" spans="2:10" ht="14" thickBot="1">
      <c r="B20" s="165" t="s">
        <v>86</v>
      </c>
      <c r="C20" s="200">
        <v>0.15</v>
      </c>
      <c r="D20" s="219">
        <f>NPV(C20,D8:D17)</f>
        <v>1299905.8851036401</v>
      </c>
      <c r="E20" s="170"/>
      <c r="G20" s="180" t="s">
        <v>86</v>
      </c>
      <c r="H20" s="224">
        <v>0.15</v>
      </c>
      <c r="I20" s="216">
        <f>NPV(H20,I8:I17)</f>
        <v>684182.72750648391</v>
      </c>
      <c r="J20" s="228"/>
    </row>
    <row r="21" spans="2:10" ht="14" thickBot="1">
      <c r="B21" s="173" t="s">
        <v>87</v>
      </c>
      <c r="C21" s="201">
        <v>0.12</v>
      </c>
      <c r="D21" s="220">
        <f>NPV(C21,D8:D17)</f>
        <v>1566265.6130454605</v>
      </c>
      <c r="E21" s="170"/>
      <c r="G21" s="180" t="s">
        <v>87</v>
      </c>
      <c r="H21" s="226">
        <v>0.12</v>
      </c>
      <c r="I21" s="216">
        <f>NPV(H21,I8:I17)</f>
        <v>842368.03104242461</v>
      </c>
      <c r="J21" s="228"/>
    </row>
    <row r="22" spans="2:10" ht="14" thickBot="1">
      <c r="B22" s="165" t="s">
        <v>88</v>
      </c>
      <c r="C22" s="202">
        <v>0.15</v>
      </c>
      <c r="D22" s="221">
        <f>NPV(C22,D8:D17)+D7</f>
        <v>99905.885103640147</v>
      </c>
      <c r="E22" s="170"/>
      <c r="G22" s="180" t="s">
        <v>88</v>
      </c>
      <c r="H22" s="225">
        <v>0.15</v>
      </c>
      <c r="I22" s="216">
        <f>NPV(H22,I8:I17)+I7</f>
        <v>324182.72750648391</v>
      </c>
      <c r="J22" s="228"/>
    </row>
    <row r="23" spans="2:10" ht="14" thickBot="1">
      <c r="B23" s="173" t="s">
        <v>88</v>
      </c>
      <c r="C23" s="203">
        <v>0.1</v>
      </c>
      <c r="D23" s="218">
        <f>NPV(C23,D8:D17)+D7</f>
        <v>585950.09604834672</v>
      </c>
      <c r="E23" s="170"/>
      <c r="G23" s="180" t="s">
        <v>88</v>
      </c>
      <c r="H23" s="227">
        <v>0.1</v>
      </c>
      <c r="I23" s="216">
        <f>NPV(H23,I8:I17)+I7</f>
        <v>613837.81210572133</v>
      </c>
      <c r="J23" s="177"/>
    </row>
    <row r="24" spans="2:10" ht="14" thickBot="1">
      <c r="B24" s="162"/>
      <c r="C24" s="174" t="s">
        <v>89</v>
      </c>
      <c r="D24" s="205">
        <f>MIRR(D7:D17,M5,M6)</f>
        <v>0.14462042804647179</v>
      </c>
      <c r="E24" s="170"/>
      <c r="G24" s="178"/>
      <c r="H24" s="181" t="s">
        <v>89</v>
      </c>
      <c r="I24" s="223">
        <f>MIRR(I7:I17,M5,M6)</f>
        <v>0.21509741909395252</v>
      </c>
      <c r="J24" s="177"/>
    </row>
    <row r="25" spans="2:10" ht="14" thickBot="1">
      <c r="B25" s="166"/>
      <c r="C25" s="167"/>
      <c r="D25" s="172"/>
      <c r="E25" s="168"/>
      <c r="G25" s="182"/>
      <c r="H25" s="183"/>
      <c r="I25" s="210"/>
      <c r="J25" s="184"/>
    </row>
    <row r="26" spans="2:10">
      <c r="D26" s="222"/>
    </row>
    <row r="27" spans="2:10" ht="14" thickBot="1"/>
    <row r="28" spans="2:10" ht="14" thickBot="1">
      <c r="B28" s="297" t="s">
        <v>234</v>
      </c>
      <c r="C28" s="298"/>
      <c r="D28" s="298"/>
      <c r="E28" s="298"/>
      <c r="F28" s="298"/>
      <c r="G28" s="298"/>
      <c r="H28" s="298"/>
      <c r="I28" s="298"/>
      <c r="J28" s="299"/>
    </row>
    <row r="29" spans="2:10" ht="14" thickBot="1">
      <c r="B29" s="185"/>
      <c r="C29" s="186"/>
      <c r="D29" s="186"/>
      <c r="E29" s="187"/>
      <c r="G29" s="213"/>
      <c r="H29" s="214"/>
      <c r="I29" s="214"/>
      <c r="J29" s="212"/>
    </row>
    <row r="30" spans="2:10" ht="14" thickBot="1">
      <c r="B30" s="162"/>
      <c r="C30" s="300" t="s">
        <v>80</v>
      </c>
      <c r="D30" s="301"/>
      <c r="E30" s="163"/>
      <c r="G30" s="178"/>
      <c r="H30" s="302" t="s">
        <v>308</v>
      </c>
      <c r="I30" s="303"/>
      <c r="J30" s="177"/>
    </row>
    <row r="31" spans="2:10" ht="14" thickBot="1">
      <c r="B31" s="162"/>
      <c r="C31" s="300" t="s">
        <v>309</v>
      </c>
      <c r="D31" s="301"/>
      <c r="E31" s="163"/>
      <c r="G31" s="178"/>
      <c r="H31" s="302" t="s">
        <v>309</v>
      </c>
      <c r="I31" s="303"/>
      <c r="J31" s="177"/>
    </row>
    <row r="32" spans="2:10" ht="14" thickBot="1">
      <c r="B32" s="162"/>
      <c r="C32" s="176" t="s">
        <v>82</v>
      </c>
      <c r="D32" s="160" t="s">
        <v>83</v>
      </c>
      <c r="E32" s="163"/>
      <c r="G32" s="178"/>
      <c r="H32" s="188" t="s">
        <v>82</v>
      </c>
      <c r="I32" s="211" t="s">
        <v>83</v>
      </c>
      <c r="J32" s="177"/>
    </row>
    <row r="33" spans="2:10" ht="14" thickBot="1">
      <c r="B33" s="162"/>
      <c r="C33" s="161" t="s">
        <v>84</v>
      </c>
      <c r="D33" s="217">
        <f>INDEX('10 Yr Unleveraged ATCF'!$A$41:$K$41,ROWS('10 Yr Unleveraged ATCF'!$A$41:A41))</f>
        <v>-1200000</v>
      </c>
      <c r="E33" s="170"/>
      <c r="G33" s="178"/>
      <c r="H33" s="212" t="s">
        <v>241</v>
      </c>
      <c r="I33" s="215">
        <f>'10 Yr ATCF'!A42</f>
        <v>-360000</v>
      </c>
      <c r="J33" s="177"/>
    </row>
    <row r="34" spans="2:10" ht="14" thickBot="1">
      <c r="B34" s="162"/>
      <c r="C34" s="163" t="s">
        <v>120</v>
      </c>
      <c r="D34" s="217">
        <f>INDEX('10 Yr Unleveraged ATCF'!$A$41:$K$41,ROWS('10 Yr Unleveraged ATCF'!$A$41:A42))</f>
        <v>86027.065527065526</v>
      </c>
      <c r="E34" s="170"/>
      <c r="G34" s="178"/>
      <c r="H34" s="177" t="s">
        <v>120</v>
      </c>
      <c r="I34" s="216">
        <f>INDEX('10 Yr ATCF'!$B$42:$K$42,ROWS('10 Yr ATCF'!$B$42:B42))</f>
        <v>25759.046474000417</v>
      </c>
      <c r="J34" s="177"/>
    </row>
    <row r="35" spans="2:10" ht="14" thickBot="1">
      <c r="B35" s="162"/>
      <c r="C35" s="163" t="s">
        <v>121</v>
      </c>
      <c r="D35" s="217">
        <f>INDEX('10 Yr Unleveraged ATCF'!$A$41:$K$41,ROWS('10 Yr Unleveraged ATCF'!$A$41:A43))</f>
        <v>91855.568376068375</v>
      </c>
      <c r="E35" s="170"/>
      <c r="G35" s="178"/>
      <c r="H35" s="177" t="s">
        <v>121</v>
      </c>
      <c r="I35" s="216">
        <f>INDEX('10 Yr ATCF'!$B$42:$K$42,ROWS('10 Yr ATCF'!$B$42:B43))</f>
        <v>31287.482804370557</v>
      </c>
      <c r="J35" s="177"/>
    </row>
    <row r="36" spans="2:10" ht="14" thickBot="1">
      <c r="B36" s="162"/>
      <c r="C36" s="163" t="s">
        <v>122</v>
      </c>
      <c r="D36" s="217">
        <f>INDEX('10 Yr Unleveraged ATCF'!$A$41:$K$41,ROWS('10 Yr Unleveraged ATCF'!$A$41:A44))</f>
        <v>101647.64937606838</v>
      </c>
      <c r="E36" s="170"/>
      <c r="G36" s="178"/>
      <c r="H36" s="177" t="s">
        <v>122</v>
      </c>
      <c r="I36" s="216">
        <f>INDEX('10 Yr ATCF'!$B$42:$K$42,ROWS('10 Yr ATCF'!$B$42:B44))</f>
        <v>40749.716408698885</v>
      </c>
      <c r="J36" s="177"/>
    </row>
    <row r="37" spans="2:10" ht="14" thickBot="1">
      <c r="B37" s="162"/>
      <c r="C37" s="163" t="s">
        <v>97</v>
      </c>
      <c r="D37" s="217">
        <f>INDEX('10 Yr Unleveraged ATCF'!$A$41:$K$41,ROWS('10 Yr Unleveraged ATCF'!$A$41:A45))</f>
        <v>108125.3929860684</v>
      </c>
      <c r="E37" s="170"/>
      <c r="G37" s="178"/>
      <c r="H37" s="177" t="s">
        <v>97</v>
      </c>
      <c r="I37" s="216">
        <f>INDEX('10 Yr ATCF'!$B$42:$K$42,ROWS('10 Yr ATCF'!$B$42:B45))</f>
        <v>46864.87606589144</v>
      </c>
      <c r="J37" s="177"/>
    </row>
    <row r="38" spans="2:10" ht="14" thickBot="1">
      <c r="B38" s="162"/>
      <c r="C38" s="163" t="s">
        <v>98</v>
      </c>
      <c r="D38" s="217">
        <f>INDEX('10 Yr Unleveraged ATCF'!$A$41:$K$41,ROWS('10 Yr Unleveraged ATCF'!$A$41:A46))</f>
        <v>115035.87365016839</v>
      </c>
      <c r="E38" s="170"/>
      <c r="G38" s="178"/>
      <c r="H38" s="177" t="s">
        <v>98</v>
      </c>
      <c r="I38" s="216">
        <f>INDEX('10 Yr ATCF'!$B$42:$K$42,ROWS('10 Yr ATCF'!$B$42:B46))</f>
        <v>53376.787195841214</v>
      </c>
      <c r="J38" s="177"/>
    </row>
    <row r="39" spans="2:10" ht="14" thickBot="1">
      <c r="B39" s="162"/>
      <c r="C39" s="163" t="s">
        <v>99</v>
      </c>
      <c r="D39" s="217">
        <f>INDEX('10 Yr Unleveraged ATCF'!$A$41:$K$41,ROWS('10 Yr Unleveraged ATCF'!$A$41:A47))</f>
        <v>122407.25921348942</v>
      </c>
      <c r="E39" s="170"/>
      <c r="G39" s="178"/>
      <c r="H39" s="177" t="s">
        <v>99</v>
      </c>
      <c r="I39" s="216">
        <f>INDEX('10 Yr ATCF'!$B$42:$K$42,ROWS('10 Yr ATCF'!$B$42:B47))</f>
        <v>60310.046161659367</v>
      </c>
      <c r="J39" s="177"/>
    </row>
    <row r="40" spans="2:10" ht="14" thickBot="1">
      <c r="B40" s="162"/>
      <c r="C40" s="163" t="s">
        <v>100</v>
      </c>
      <c r="D40" s="217">
        <f>INDEX('10 Yr Unleveraged ATCF'!$A$41:$K$41,ROWS('10 Yr Unleveraged ATCF'!$A$41:A48))</f>
        <v>130269.51777295343</v>
      </c>
      <c r="E40" s="170"/>
      <c r="G40" s="178"/>
      <c r="H40" s="177" t="s">
        <v>100</v>
      </c>
      <c r="I40" s="216">
        <f>INDEX('10 Yr ATCF'!$B$42:$K$42,ROWS('10 Yr ATCF'!$B$42:B48))</f>
        <v>67690.695117296753</v>
      </c>
      <c r="J40" s="177"/>
    </row>
    <row r="41" spans="2:10" ht="14" thickBot="1">
      <c r="B41" s="162"/>
      <c r="C41" s="163" t="s">
        <v>101</v>
      </c>
      <c r="D41" s="217">
        <f>INDEX('10 Yr Unleveraged ATCF'!$A$41:$K$41,ROWS('10 Yr Unleveraged ATCF'!$A$41:A49))</f>
        <v>138654.53120144623</v>
      </c>
      <c r="E41" s="170"/>
      <c r="G41" s="178"/>
      <c r="H41" s="177" t="s">
        <v>101</v>
      </c>
      <c r="I41" s="216">
        <f>INDEX('10 Yr ATCF'!$B$42:$K$42,ROWS('10 Yr ATCF'!$B$42:B49))</f>
        <v>75546.300352312974</v>
      </c>
      <c r="J41" s="177"/>
    </row>
    <row r="42" spans="2:10" ht="14" thickBot="1">
      <c r="B42" s="162"/>
      <c r="C42" s="163" t="s">
        <v>102</v>
      </c>
      <c r="D42" s="217">
        <f>INDEX('10 Yr Unleveraged ATCF'!$A$41:$K$41,ROWS('10 Yr Unleveraged ATCF'!$A$41:A50))</f>
        <v>147596.21575888258</v>
      </c>
      <c r="E42" s="170"/>
      <c r="G42" s="178"/>
      <c r="H42" s="177" t="s">
        <v>102</v>
      </c>
      <c r="I42" s="216">
        <f>INDEX('10 Yr ATCF'!$B$42:$K$42,ROWS('10 Yr ATCF'!$B$42:B50))</f>
        <v>83906.034232077349</v>
      </c>
      <c r="J42" s="177"/>
    </row>
    <row r="43" spans="2:10" ht="14" thickBot="1">
      <c r="B43" s="162"/>
      <c r="C43" s="163" t="s">
        <v>103</v>
      </c>
      <c r="D43" s="217">
        <f>INDEX('10 Yr Unleveraged ATCF'!$A$41:$K$41,ROWS('10 Yr Unleveraged ATCF'!$A$41:A51))</f>
        <v>2015570.7763678422</v>
      </c>
      <c r="E43" s="170"/>
      <c r="G43" s="178"/>
      <c r="H43" s="177" t="s">
        <v>103</v>
      </c>
      <c r="I43" s="216">
        <f>INDEX('10 Yr ATCF'!$B$42:$K$42,ROWS('10 Yr ATCF'!$B$42:B51))</f>
        <v>1248417.819124168</v>
      </c>
      <c r="J43" s="177"/>
    </row>
    <row r="44" spans="2:10" ht="14" thickBot="1">
      <c r="B44" s="162"/>
      <c r="C44" s="164"/>
      <c r="D44" s="171"/>
      <c r="E44" s="163"/>
      <c r="G44" s="178"/>
      <c r="H44" s="208"/>
      <c r="I44" s="209"/>
      <c r="J44" s="177"/>
    </row>
    <row r="45" spans="2:10" ht="14" thickBot="1">
      <c r="B45" s="162"/>
      <c r="C45" s="169" t="s">
        <v>85</v>
      </c>
      <c r="D45" s="230">
        <f>IRR(D33:D43)</f>
        <v>0.124385551798047</v>
      </c>
      <c r="E45" s="170"/>
      <c r="G45" s="178"/>
      <c r="H45" s="179" t="s">
        <v>85</v>
      </c>
      <c r="I45" s="229">
        <f>IRR(I33:I43)</f>
        <v>0.21101559349278931</v>
      </c>
      <c r="J45" s="177"/>
    </row>
    <row r="46" spans="2:10" ht="14" thickBot="1">
      <c r="B46" s="165" t="s">
        <v>86</v>
      </c>
      <c r="C46" s="200">
        <v>0.15</v>
      </c>
      <c r="D46" s="219">
        <f>NPV(C46,D34:D43)</f>
        <v>1017505.2457249429</v>
      </c>
      <c r="E46" s="170"/>
      <c r="G46" s="180" t="s">
        <v>86</v>
      </c>
      <c r="H46" s="224">
        <v>0.15</v>
      </c>
      <c r="I46" s="216">
        <f>NPV(H46,I34:I43)</f>
        <v>534841.92445943318</v>
      </c>
      <c r="J46" s="228"/>
    </row>
    <row r="47" spans="2:10" ht="14" thickBot="1">
      <c r="B47" s="173" t="s">
        <v>87</v>
      </c>
      <c r="C47" s="201">
        <v>0.12</v>
      </c>
      <c r="D47" s="220">
        <f>NPV(C47,D34:D43)</f>
        <v>1235504.8540380935</v>
      </c>
      <c r="E47" s="170"/>
      <c r="G47" s="180" t="s">
        <v>87</v>
      </c>
      <c r="H47" s="226">
        <v>0.12</v>
      </c>
      <c r="I47" s="216">
        <f>NPV(H47,I34:I43)</f>
        <v>660918.22584249789</v>
      </c>
      <c r="J47" s="177"/>
    </row>
    <row r="48" spans="2:10" ht="14" thickBot="1">
      <c r="B48" s="165" t="s">
        <v>88</v>
      </c>
      <c r="C48" s="202">
        <v>0.15</v>
      </c>
      <c r="D48" s="221">
        <f>NPV(C48,D34:D43)+D33</f>
        <v>-182494.75427505712</v>
      </c>
      <c r="E48" s="232"/>
      <c r="G48" s="180" t="s">
        <v>88</v>
      </c>
      <c r="H48" s="225">
        <v>0.15</v>
      </c>
      <c r="I48" s="216">
        <f>NPV(H48,I34:I43)+I33</f>
        <v>174841.92445943318</v>
      </c>
      <c r="J48" s="177"/>
    </row>
    <row r="49" spans="2:10" ht="14" thickBot="1">
      <c r="B49" s="173" t="s">
        <v>88</v>
      </c>
      <c r="C49" s="203">
        <v>0.1</v>
      </c>
      <c r="D49" s="218">
        <f>NPV(C49,D34:D43)+D33</f>
        <v>216081.74484111136</v>
      </c>
      <c r="E49" s="170"/>
      <c r="G49" s="180" t="s">
        <v>88</v>
      </c>
      <c r="H49" s="227">
        <v>0.1</v>
      </c>
      <c r="I49" s="216">
        <f>NPV(H49,I34:I43)+I33</f>
        <v>405968.57713642507</v>
      </c>
      <c r="J49" s="177"/>
    </row>
    <row r="50" spans="2:10" ht="14" thickBot="1">
      <c r="B50" s="162"/>
      <c r="C50" s="174" t="s">
        <v>89</v>
      </c>
      <c r="D50" s="230">
        <f>MIRR(D33:D43,M5,M6)</f>
        <v>0.11836455167576165</v>
      </c>
      <c r="E50" s="170"/>
      <c r="G50" s="178"/>
      <c r="H50" s="181" t="s">
        <v>89</v>
      </c>
      <c r="I50" s="229">
        <f>MIRR(I33:I43,M5,M6)</f>
        <v>0.18626995337408991</v>
      </c>
      <c r="J50" s="177"/>
    </row>
    <row r="51" spans="2:10" ht="14" thickBot="1">
      <c r="B51" s="166"/>
      <c r="C51" s="167"/>
      <c r="D51" s="172"/>
      <c r="E51" s="168"/>
      <c r="G51" s="182"/>
      <c r="H51" s="183"/>
      <c r="I51" s="210"/>
      <c r="J51" s="184"/>
    </row>
  </sheetData>
  <mergeCells count="11">
    <mergeCell ref="B2:J2"/>
    <mergeCell ref="C4:D4"/>
    <mergeCell ref="C5:D5"/>
    <mergeCell ref="H4:I4"/>
    <mergeCell ref="H5:I5"/>
    <mergeCell ref="L4:M4"/>
    <mergeCell ref="B28:J28"/>
    <mergeCell ref="C30:D30"/>
    <mergeCell ref="H30:I30"/>
    <mergeCell ref="C31:D31"/>
    <mergeCell ref="H31:I31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G28" sqref="G28"/>
    </sheetView>
  </sheetViews>
  <sheetFormatPr baseColWidth="10" defaultColWidth="11" defaultRowHeight="13" outlineLevelRow="1" x14ac:dyDescent="0"/>
  <cols>
    <col min="1" max="1" width="21.28515625" bestFit="1" customWidth="1"/>
    <col min="4" max="4" width="14" bestFit="1" customWidth="1"/>
  </cols>
  <sheetData>
    <row r="1" spans="1:12" ht="14" thickBot="1"/>
    <row r="2" spans="1:12" ht="17" thickBot="1">
      <c r="A2" s="259" t="s">
        <v>111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1"/>
    </row>
    <row r="5" spans="1:12" ht="14" thickBot="1">
      <c r="A5" s="273" t="s">
        <v>219</v>
      </c>
      <c r="B5" s="276"/>
      <c r="D5" s="275" t="s">
        <v>200</v>
      </c>
      <c r="E5" s="268"/>
      <c r="G5" s="273" t="s">
        <v>54</v>
      </c>
      <c r="H5" s="276"/>
    </row>
    <row r="6" spans="1:12">
      <c r="A6" t="s">
        <v>220</v>
      </c>
      <c r="B6" s="145">
        <f>APOD!G4</f>
        <v>1200000</v>
      </c>
      <c r="D6" t="s">
        <v>201</v>
      </c>
      <c r="E6" s="67">
        <f>APOD!C7</f>
        <v>30000</v>
      </c>
      <c r="G6" t="s">
        <v>55</v>
      </c>
    </row>
    <row r="7" spans="1:12">
      <c r="A7" t="s">
        <v>271</v>
      </c>
      <c r="B7" s="60">
        <f>APOD!G5</f>
        <v>0.7</v>
      </c>
      <c r="D7" t="s">
        <v>202</v>
      </c>
      <c r="E7" s="68">
        <f>APOD!G15</f>
        <v>4.0999999999999996</v>
      </c>
      <c r="G7" s="1" t="s">
        <v>56</v>
      </c>
      <c r="H7" s="60">
        <f>APOD!G14</f>
        <v>0.11</v>
      </c>
    </row>
    <row r="8" spans="1:12">
      <c r="A8" t="s">
        <v>272</v>
      </c>
      <c r="B8" s="97">
        <f>APOD!G6</f>
        <v>840000</v>
      </c>
      <c r="D8" t="s">
        <v>203</v>
      </c>
      <c r="E8" s="68">
        <f>APOD!C16</f>
        <v>9</v>
      </c>
    </row>
    <row r="9" spans="1:12">
      <c r="A9" t="s">
        <v>273</v>
      </c>
      <c r="B9" s="61">
        <f>APOD!G7</f>
        <v>9.5000000000000001E-2</v>
      </c>
    </row>
    <row r="10" spans="1:12" ht="14" thickBot="1">
      <c r="A10" t="s">
        <v>274</v>
      </c>
      <c r="B10" s="66">
        <f>APOD!G25/12</f>
        <v>8.7369666086307453E-3</v>
      </c>
      <c r="D10" s="273" t="s">
        <v>50</v>
      </c>
      <c r="E10" s="274"/>
      <c r="G10" s="273" t="s">
        <v>279</v>
      </c>
      <c r="H10" s="274"/>
    </row>
    <row r="11" spans="1:12">
      <c r="A11" t="s">
        <v>275</v>
      </c>
      <c r="B11" s="62">
        <f>APOD!G9</f>
        <v>25</v>
      </c>
      <c r="D11" t="s">
        <v>51</v>
      </c>
      <c r="E11" s="97">
        <f>B6</f>
        <v>1200000</v>
      </c>
      <c r="H11" s="60">
        <f>APOD!C8</f>
        <v>0.2</v>
      </c>
    </row>
    <row r="12" spans="1:12">
      <c r="A12" t="s">
        <v>276</v>
      </c>
      <c r="B12" s="62">
        <f>APOD!G10</f>
        <v>300</v>
      </c>
      <c r="D12" t="s">
        <v>52</v>
      </c>
      <c r="E12" s="97">
        <f>B8</f>
        <v>840000</v>
      </c>
    </row>
    <row r="13" spans="1:12">
      <c r="A13" t="s">
        <v>277</v>
      </c>
      <c r="B13" s="97">
        <f>APOD!G11</f>
        <v>7339.0519512498258</v>
      </c>
      <c r="D13" t="s">
        <v>53</v>
      </c>
      <c r="E13" s="97">
        <f>E11-E12</f>
        <v>360000</v>
      </c>
    </row>
    <row r="14" spans="1:12">
      <c r="A14" t="s">
        <v>278</v>
      </c>
      <c r="B14" s="97">
        <f>APOD!G12</f>
        <v>88068.623414997914</v>
      </c>
    </row>
    <row r="16" spans="1:12">
      <c r="A16" s="15" t="s">
        <v>199</v>
      </c>
    </row>
    <row r="17" spans="1:7">
      <c r="B17" s="70" t="s">
        <v>29</v>
      </c>
      <c r="C17" s="70" t="s">
        <v>206</v>
      </c>
      <c r="D17" s="70" t="s">
        <v>207</v>
      </c>
      <c r="E17" s="70" t="s">
        <v>208</v>
      </c>
      <c r="F17" s="70" t="s">
        <v>209</v>
      </c>
      <c r="G17" s="70" t="s">
        <v>210</v>
      </c>
    </row>
    <row r="18" spans="1:7">
      <c r="A18" s="16" t="s">
        <v>190</v>
      </c>
      <c r="B18" s="130">
        <f>APOD!D23</f>
        <v>270000</v>
      </c>
      <c r="C18" s="130">
        <f>IF(APOD!$G$17=0,'10 Yr BTCF'!B18*'Variable Rates'!C12,B18*(1+APOD!$G$17))</f>
        <v>286200</v>
      </c>
      <c r="D18" s="134">
        <f>IF(APOD!$G$17=0,'10 Yr BTCF'!C18*'Variable Rates'!D12,C18*(1+APOD!$G$17))</f>
        <v>303372</v>
      </c>
      <c r="E18" s="134">
        <f>IF(APOD!$G$17=0,'10 Yr BTCF'!D18*'Variable Rates'!E12,D18*(1+APOD!$G$17))</f>
        <v>321574.32</v>
      </c>
      <c r="F18" s="134">
        <f>IF(APOD!$G$17=0,'10 Yr BTCF'!E18*'Variable Rates'!F12,E18*(1+APOD!$G$17))</f>
        <v>340868.77920000005</v>
      </c>
      <c r="G18" s="134">
        <f>IF(APOD!$G$17=0,'10 Yr BTCF'!F18*'Variable Rates'!G12,F18*(1+APOD!$G$17))</f>
        <v>361320.90595200006</v>
      </c>
    </row>
    <row r="19" spans="1:7">
      <c r="A19" s="16" t="s">
        <v>191</v>
      </c>
      <c r="B19" s="130">
        <f>APOD!D24</f>
        <v>27000</v>
      </c>
      <c r="C19" s="130">
        <f>IF(APOD!$C$17=0,'10 Yr BTCF'!C18*'Variable Rates'!C4,'10 Yr BTCF'!C18*APOD!$C$17)</f>
        <v>28620</v>
      </c>
      <c r="D19" s="134">
        <f>IF(APOD!$C$17=0,'10 Yr BTCF'!D18*'Variable Rates'!D4,'10 Yr BTCF'!D18*APOD!$C$17)</f>
        <v>24269.760000000002</v>
      </c>
      <c r="E19" s="134">
        <f>IF(APOD!$C$17=0,'10 Yr BTCF'!E18*'Variable Rates'!E4,'10 Yr BTCF'!E18*APOD!$C$17)</f>
        <v>25725.945600000003</v>
      </c>
      <c r="F19" s="134">
        <f>IF(APOD!$C$17=0,'10 Yr BTCF'!F18*'Variable Rates'!F4,'10 Yr BTCF'!F18*APOD!$C$17)</f>
        <v>27269.502336000005</v>
      </c>
      <c r="G19" s="134">
        <f>IF(APOD!$C$17=0,'10 Yr BTCF'!G18*'Variable Rates'!G4,'10 Yr BTCF'!G18*APOD!$C$17)</f>
        <v>28905.672476160005</v>
      </c>
    </row>
    <row r="20" spans="1:7">
      <c r="A20" s="16" t="s">
        <v>192</v>
      </c>
      <c r="B20" s="130">
        <f>APOD!$D$25</f>
        <v>0</v>
      </c>
      <c r="C20" s="134">
        <f>B20*(1+APOD!$G$18)</f>
        <v>0</v>
      </c>
      <c r="D20" s="134">
        <f>C20*(1+APOD!$G$18)</f>
        <v>0</v>
      </c>
      <c r="E20" s="134">
        <f>D20*(1+APOD!$G$18)</f>
        <v>0</v>
      </c>
      <c r="F20" s="134">
        <f>E20*(1+APOD!$G$18)</f>
        <v>0</v>
      </c>
      <c r="G20" s="134">
        <f>F20*(1+APOD!$G$18)</f>
        <v>0</v>
      </c>
    </row>
    <row r="21" spans="1:7">
      <c r="A21" s="16" t="s">
        <v>193</v>
      </c>
      <c r="B21" s="130">
        <f>B18-B19+B20</f>
        <v>243000</v>
      </c>
      <c r="C21" s="130">
        <f t="shared" ref="C21:G21" si="0">C18-C19+C20</f>
        <v>257580</v>
      </c>
      <c r="D21" s="130">
        <f t="shared" si="0"/>
        <v>279102.24</v>
      </c>
      <c r="E21" s="130">
        <f t="shared" si="0"/>
        <v>295848.37440000003</v>
      </c>
      <c r="F21" s="130">
        <f t="shared" si="0"/>
        <v>313599.27686400001</v>
      </c>
      <c r="G21" s="130">
        <f t="shared" si="0"/>
        <v>332415.23347584007</v>
      </c>
    </row>
    <row r="22" spans="1:7" ht="14" thickBot="1">
      <c r="A22" s="72" t="s">
        <v>194</v>
      </c>
      <c r="B22" s="121">
        <f>APOD!D47</f>
        <v>123000</v>
      </c>
      <c r="C22" s="121">
        <f>IF(APOD!$G$16=0,'10 Yr BTCF'!B22*'Variable Rates'!C8,B22*(1+APOD!$G$16))</f>
        <v>129150</v>
      </c>
      <c r="D22" s="121">
        <f>IF(APOD!$G$16=0,'10 Yr BTCF'!C22*'Variable Rates'!D8,C22*(1+APOD!$G$16))</f>
        <v>135607.5</v>
      </c>
      <c r="E22" s="121">
        <f>IF(APOD!$G$16=0,'10 Yr BTCF'!D22*'Variable Rates'!E8,D22*(1+APOD!$G$16))</f>
        <v>142387.875</v>
      </c>
      <c r="F22" s="121">
        <f>IF(APOD!$G$16=0,'10 Yr BTCF'!E22*'Variable Rates'!F8,E22*(1+APOD!$G$16))</f>
        <v>149507.26875000002</v>
      </c>
      <c r="G22" s="121">
        <f>IF(APOD!$G$16=0,'10 Yr BTCF'!F22*'Variable Rates'!G8,F22*(1+APOD!$G$16))</f>
        <v>156982.63218750001</v>
      </c>
    </row>
    <row r="23" spans="1:7">
      <c r="A23" s="16" t="s">
        <v>195</v>
      </c>
      <c r="B23" s="130">
        <f>B21-B22</f>
        <v>120000</v>
      </c>
      <c r="C23" s="130">
        <f t="shared" ref="C23:G23" si="1">C21-C22</f>
        <v>128430</v>
      </c>
      <c r="D23" s="130">
        <f t="shared" si="1"/>
        <v>143494.74</v>
      </c>
      <c r="E23" s="130">
        <f t="shared" si="1"/>
        <v>153460.49940000003</v>
      </c>
      <c r="F23" s="130">
        <f t="shared" si="1"/>
        <v>164092.008114</v>
      </c>
      <c r="G23" s="130">
        <f t="shared" si="1"/>
        <v>175432.60128834005</v>
      </c>
    </row>
    <row r="24" spans="1:7" ht="14" thickBot="1">
      <c r="A24" s="72" t="s">
        <v>196</v>
      </c>
      <c r="B24" s="121">
        <f>$B$14</f>
        <v>88068.623414997914</v>
      </c>
      <c r="C24" s="121">
        <f t="shared" ref="C24:F24" si="2">$B$14</f>
        <v>88068.623414997914</v>
      </c>
      <c r="D24" s="121">
        <f t="shared" si="2"/>
        <v>88068.623414997914</v>
      </c>
      <c r="E24" s="121">
        <f t="shared" si="2"/>
        <v>88068.623414997914</v>
      </c>
      <c r="F24" s="121">
        <f t="shared" si="2"/>
        <v>88068.623414997914</v>
      </c>
    </row>
    <row r="25" spans="1:7" ht="14" thickBot="1">
      <c r="A25" s="16" t="s">
        <v>197</v>
      </c>
      <c r="B25" s="39">
        <f>B23-B24</f>
        <v>31931.376585002086</v>
      </c>
      <c r="C25" s="39">
        <f t="shared" ref="C25:F25" si="3">C23-C24</f>
        <v>40361.376585002086</v>
      </c>
      <c r="D25" s="39">
        <f t="shared" si="3"/>
        <v>55426.116585002077</v>
      </c>
      <c r="E25" s="39">
        <f t="shared" si="3"/>
        <v>65391.875985002116</v>
      </c>
      <c r="F25" s="39">
        <f t="shared" si="3"/>
        <v>76023.384699002083</v>
      </c>
    </row>
    <row r="26" spans="1:7" ht="14" thickTop="1"/>
    <row r="28" spans="1:7">
      <c r="A28" s="16" t="s">
        <v>198</v>
      </c>
      <c r="B28" s="130">
        <f>C23/$H$7</f>
        <v>1167545.4545454546</v>
      </c>
      <c r="C28" s="130">
        <f t="shared" ref="C28:F28" si="4">D23/$H$7</f>
        <v>1304497.6363636362</v>
      </c>
      <c r="D28" s="130">
        <f t="shared" si="4"/>
        <v>1395095.4490909094</v>
      </c>
      <c r="E28" s="130">
        <f t="shared" si="4"/>
        <v>1491745.5283090908</v>
      </c>
      <c r="F28" s="130">
        <f t="shared" si="4"/>
        <v>1594841.8298940004</v>
      </c>
    </row>
    <row r="29" spans="1:7">
      <c r="A29" s="16" t="s">
        <v>60</v>
      </c>
      <c r="B29" s="130">
        <f>B28*APOD!$G$19</f>
        <v>93403.636363636368</v>
      </c>
      <c r="C29" s="130">
        <f>C28*APOD!$G$19</f>
        <v>104359.8109090909</v>
      </c>
      <c r="D29" s="130">
        <f>D28*APOD!$G$19</f>
        <v>111607.63592727276</v>
      </c>
      <c r="E29" s="130">
        <f>E28*APOD!$G$19</f>
        <v>119339.64226472727</v>
      </c>
      <c r="F29" s="130">
        <f>F28*APOD!$G$19</f>
        <v>127587.34639152004</v>
      </c>
    </row>
    <row r="30" spans="1:7" ht="14" thickBot="1">
      <c r="A30" s="16" t="s">
        <v>114</v>
      </c>
      <c r="B30" s="130">
        <f>PV($B$9/12,B33,-$B$13)</f>
        <v>831361.67476195295</v>
      </c>
      <c r="C30" s="130">
        <f t="shared" ref="C30:F30" si="5">PV($B$9/12,C33,-$B$13)</f>
        <v>821866.01661352674</v>
      </c>
      <c r="D30" s="130">
        <f t="shared" si="5"/>
        <v>811427.93733461003</v>
      </c>
      <c r="E30" s="130">
        <f t="shared" si="5"/>
        <v>799953.90390481486</v>
      </c>
      <c r="F30" s="130">
        <f t="shared" si="5"/>
        <v>787341.10037744767</v>
      </c>
    </row>
    <row r="31" spans="1:7">
      <c r="A31" s="20" t="s">
        <v>115</v>
      </c>
      <c r="B31" s="113">
        <f>B28-B29-B30</f>
        <v>242780.14341986517</v>
      </c>
      <c r="C31" s="113">
        <f t="shared" ref="C31:F31" si="6">C28-C29-C30</f>
        <v>378271.8088410187</v>
      </c>
      <c r="D31" s="113">
        <f t="shared" si="6"/>
        <v>472059.87582902669</v>
      </c>
      <c r="E31" s="113">
        <f t="shared" si="6"/>
        <v>572451.98213954864</v>
      </c>
      <c r="F31" s="113">
        <f t="shared" si="6"/>
        <v>679913.38312503276</v>
      </c>
    </row>
    <row r="32" spans="1:7" outlineLevel="1"/>
    <row r="33" spans="1:6" outlineLevel="1">
      <c r="A33" s="22" t="s">
        <v>116</v>
      </c>
      <c r="B33" s="23">
        <v>288</v>
      </c>
      <c r="C33" s="23">
        <f>B33-12</f>
        <v>276</v>
      </c>
      <c r="D33" s="23">
        <f t="shared" ref="D33:F33" si="7">C33-12</f>
        <v>264</v>
      </c>
      <c r="E33" s="23">
        <f t="shared" si="7"/>
        <v>252</v>
      </c>
      <c r="F33" s="23">
        <f t="shared" si="7"/>
        <v>240</v>
      </c>
    </row>
    <row r="34" spans="1:6" outlineLevel="1">
      <c r="A34" s="22" t="s">
        <v>117</v>
      </c>
      <c r="B34" s="102">
        <f>B8-B30</f>
        <v>8638.3252380470512</v>
      </c>
      <c r="C34" s="102">
        <f>B30-C30</f>
        <v>9495.6581484262133</v>
      </c>
      <c r="D34" s="102">
        <f t="shared" ref="D34:F34" si="8">C30-D30</f>
        <v>10438.079278916703</v>
      </c>
      <c r="E34" s="102">
        <f t="shared" si="8"/>
        <v>11474.033429795178</v>
      </c>
      <c r="F34" s="102">
        <f t="shared" si="8"/>
        <v>12612.803527367185</v>
      </c>
    </row>
    <row r="36" spans="1:6">
      <c r="A36" s="16" t="s">
        <v>118</v>
      </c>
    </row>
    <row r="37" spans="1:6">
      <c r="A37" s="98" t="s">
        <v>315</v>
      </c>
      <c r="B37" s="98" t="s">
        <v>120</v>
      </c>
      <c r="C37" s="98" t="s">
        <v>121</v>
      </c>
      <c r="D37" s="98" t="s">
        <v>122</v>
      </c>
      <c r="E37" s="98" t="s">
        <v>97</v>
      </c>
      <c r="F37" s="98" t="s">
        <v>98</v>
      </c>
    </row>
    <row r="38" spans="1:6">
      <c r="A38" s="130">
        <f>-E13</f>
        <v>-360000</v>
      </c>
      <c r="B38" s="130">
        <f>B25</f>
        <v>31931.376585002086</v>
      </c>
      <c r="C38" s="130">
        <f t="shared" ref="C38:F38" si="9">C25</f>
        <v>40361.376585002086</v>
      </c>
      <c r="D38" s="130">
        <f t="shared" si="9"/>
        <v>55426.116585002077</v>
      </c>
      <c r="E38" s="130">
        <f t="shared" si="9"/>
        <v>65391.875985002116</v>
      </c>
      <c r="F38" s="130">
        <f t="shared" si="9"/>
        <v>76023.384699002083</v>
      </c>
    </row>
    <row r="39" spans="1:6">
      <c r="A39" s="24" t="s">
        <v>106</v>
      </c>
      <c r="B39" s="130">
        <f>B31</f>
        <v>242780.14341986517</v>
      </c>
      <c r="C39" s="130">
        <f t="shared" ref="C39:F39" si="10">C31</f>
        <v>378271.8088410187</v>
      </c>
      <c r="D39" s="130">
        <f t="shared" si="10"/>
        <v>472059.87582902669</v>
      </c>
      <c r="E39" s="130">
        <f t="shared" si="10"/>
        <v>572451.98213954864</v>
      </c>
      <c r="F39" s="130">
        <f t="shared" si="10"/>
        <v>679913.38312503276</v>
      </c>
    </row>
    <row r="40" spans="1:6">
      <c r="A40" s="24" t="s">
        <v>105</v>
      </c>
      <c r="B40" s="130">
        <f>B38+B39</f>
        <v>274711.52000486723</v>
      </c>
      <c r="C40" s="130">
        <f t="shared" ref="C40:F40" si="11">C38+C39</f>
        <v>418633.18542602076</v>
      </c>
      <c r="D40" s="130">
        <f t="shared" si="11"/>
        <v>527485.99241402873</v>
      </c>
      <c r="E40" s="130">
        <f t="shared" si="11"/>
        <v>637843.85812455078</v>
      </c>
      <c r="F40" s="130">
        <f t="shared" si="11"/>
        <v>755936.76782403491</v>
      </c>
    </row>
    <row r="41" spans="1:6">
      <c r="A41" s="17" t="s">
        <v>104</v>
      </c>
      <c r="B41" s="42">
        <f>IRR(B47:B48)</f>
        <v>-0.23691244443092441</v>
      </c>
      <c r="C41" s="42">
        <f>IRR(C47:C49)</f>
        <v>0.12362519022055962</v>
      </c>
      <c r="D41" s="42">
        <f>IRR(D47:D50)</f>
        <v>0.19987540494327205</v>
      </c>
      <c r="E41" s="42">
        <f>IRR(E47:E51)</f>
        <v>0.23105268518041133</v>
      </c>
      <c r="F41" s="42">
        <f>IRR(F47:F52)</f>
        <v>0.24527989933586536</v>
      </c>
    </row>
    <row r="42" spans="1:6">
      <c r="A42" s="25" t="s">
        <v>107</v>
      </c>
      <c r="B42" s="44">
        <f>NPV(H11,B48)</f>
        <v>228926.26667072269</v>
      </c>
      <c r="C42" s="44">
        <f>NPV(H11,C48:C49)</f>
        <v>317326.9703666828</v>
      </c>
      <c r="D42" s="44">
        <f>NPV(H11,D48:D50)</f>
        <v>359896.31168890873</v>
      </c>
      <c r="E42" s="44">
        <f>NPV(H11,E48:E51)</f>
        <v>394315.68241118826</v>
      </c>
      <c r="F42" s="44">
        <f>NPV(H11,F48:F52)</f>
        <v>422042.9800483798</v>
      </c>
    </row>
    <row r="43" spans="1:6">
      <c r="A43" s="25" t="s">
        <v>108</v>
      </c>
      <c r="B43" s="44">
        <f>B42+$A$38</f>
        <v>-131073.73332927731</v>
      </c>
      <c r="C43" s="44">
        <f t="shared" ref="C43:F43" si="12">C42+$A$38</f>
        <v>-42673.029633317201</v>
      </c>
      <c r="D43" s="44">
        <f t="shared" si="12"/>
        <v>-103.68831109127495</v>
      </c>
      <c r="E43" s="44">
        <f t="shared" si="12"/>
        <v>34315.68241118826</v>
      </c>
      <c r="F43" s="44">
        <f t="shared" si="12"/>
        <v>62042.980048379803</v>
      </c>
    </row>
    <row r="45" spans="1:6" outlineLevel="1">
      <c r="A45" s="23" t="s">
        <v>314</v>
      </c>
      <c r="B45" s="23" t="s">
        <v>176</v>
      </c>
      <c r="C45" s="23" t="s">
        <v>157</v>
      </c>
      <c r="D45" s="147" t="s">
        <v>158</v>
      </c>
      <c r="E45" s="23" t="s">
        <v>159</v>
      </c>
      <c r="F45" s="23" t="s">
        <v>160</v>
      </c>
    </row>
    <row r="46" spans="1:6" outlineLevel="1">
      <c r="A46" s="23"/>
    </row>
    <row r="47" spans="1:6" outlineLevel="1">
      <c r="A47" s="23" t="s">
        <v>315</v>
      </c>
      <c r="B47" s="130">
        <f>$A$38</f>
        <v>-360000</v>
      </c>
      <c r="C47" s="45">
        <f t="shared" ref="C47:F47" si="13">$A$38</f>
        <v>-360000</v>
      </c>
      <c r="D47" s="130">
        <f t="shared" si="13"/>
        <v>-360000</v>
      </c>
      <c r="E47" s="130">
        <f t="shared" si="13"/>
        <v>-360000</v>
      </c>
      <c r="F47" s="130">
        <f t="shared" si="13"/>
        <v>-360000</v>
      </c>
    </row>
    <row r="48" spans="1:6" outlineLevel="1">
      <c r="A48" s="23" t="s">
        <v>120</v>
      </c>
      <c r="B48" s="130">
        <f>B40</f>
        <v>274711.52000486723</v>
      </c>
      <c r="C48" s="45">
        <f>$B$25</f>
        <v>31931.376585002086</v>
      </c>
      <c r="D48" s="130">
        <f t="shared" ref="D48:F48" si="14">$B$25</f>
        <v>31931.376585002086</v>
      </c>
      <c r="E48" s="130">
        <f t="shared" si="14"/>
        <v>31931.376585002086</v>
      </c>
      <c r="F48" s="130">
        <f t="shared" si="14"/>
        <v>31931.376585002086</v>
      </c>
    </row>
    <row r="49" spans="1:9" outlineLevel="1">
      <c r="A49" s="23" t="s">
        <v>121</v>
      </c>
      <c r="C49" s="45">
        <f>C40</f>
        <v>418633.18542602076</v>
      </c>
      <c r="D49" s="130">
        <f>$C$25</f>
        <v>40361.376585002086</v>
      </c>
      <c r="E49" s="130">
        <f t="shared" ref="E49:F49" si="15">$C$25</f>
        <v>40361.376585002086</v>
      </c>
      <c r="F49" s="130">
        <f t="shared" si="15"/>
        <v>40361.376585002086</v>
      </c>
    </row>
    <row r="50" spans="1:9" outlineLevel="1">
      <c r="A50" s="23" t="s">
        <v>122</v>
      </c>
      <c r="D50" s="130">
        <f>D40</f>
        <v>527485.99241402873</v>
      </c>
      <c r="E50" s="130">
        <f>$D$25</f>
        <v>55426.116585002077</v>
      </c>
      <c r="F50" s="130">
        <f t="shared" ref="F50" si="16">$D$25</f>
        <v>55426.116585002077</v>
      </c>
    </row>
    <row r="51" spans="1:9" outlineLevel="1">
      <c r="A51" s="23" t="s">
        <v>97</v>
      </c>
      <c r="E51" s="130">
        <f>E40</f>
        <v>637843.85812455078</v>
      </c>
      <c r="F51" s="130">
        <f>$E$25</f>
        <v>65391.875985002116</v>
      </c>
    </row>
    <row r="52" spans="1:9" outlineLevel="1">
      <c r="A52" s="23" t="s">
        <v>98</v>
      </c>
      <c r="F52" s="130">
        <f>F40</f>
        <v>755936.76782403491</v>
      </c>
    </row>
    <row r="53" spans="1:9" outlineLevel="1"/>
    <row r="54" spans="1:9" outlineLevel="1"/>
    <row r="55" spans="1:9" outlineLevel="1"/>
    <row r="56" spans="1:9" outlineLevel="1"/>
    <row r="57" spans="1:9" outlineLevel="1"/>
    <row r="58" spans="1:9" outlineLevel="1"/>
    <row r="59" spans="1:9" outlineLevel="1"/>
    <row r="60" spans="1:9" ht="14" outlineLevel="1" thickBot="1"/>
    <row r="61" spans="1:9" ht="14" thickBot="1">
      <c r="A61" s="262" t="s">
        <v>58</v>
      </c>
      <c r="B61" s="260"/>
      <c r="C61" s="260"/>
      <c r="D61" s="260"/>
      <c r="E61" s="261"/>
      <c r="G61" s="262" t="s">
        <v>59</v>
      </c>
      <c r="H61" s="263"/>
      <c r="I61" s="264"/>
    </row>
    <row r="62" spans="1:9">
      <c r="A62" s="265" t="s">
        <v>177</v>
      </c>
      <c r="B62" s="266"/>
      <c r="C62" s="150">
        <f>IRR(B68:B73)</f>
        <v>0.14876301277193771</v>
      </c>
      <c r="D62" s="21"/>
      <c r="E62" s="9"/>
      <c r="G62" s="265" t="s">
        <v>10</v>
      </c>
      <c r="H62" s="266"/>
      <c r="I62" s="152">
        <f>C62</f>
        <v>0.14876301277193771</v>
      </c>
    </row>
    <row r="63" spans="1:9">
      <c r="A63" s="267" t="s">
        <v>178</v>
      </c>
      <c r="B63" s="268"/>
      <c r="C63" s="151">
        <f>F41</f>
        <v>0.24527989933586536</v>
      </c>
      <c r="D63" s="271" t="str">
        <f>IF(C63&gt;C62,"Positive Financial Leverage","Negative Financial Leverage")</f>
        <v>Positive Financial Leverage</v>
      </c>
      <c r="E63" s="272"/>
      <c r="G63" s="267" t="s">
        <v>118</v>
      </c>
      <c r="H63" s="268"/>
      <c r="I63" s="153">
        <f>C63</f>
        <v>0.24527989933586536</v>
      </c>
    </row>
    <row r="64" spans="1:9" ht="14" thickBot="1">
      <c r="A64" s="269" t="s">
        <v>179</v>
      </c>
      <c r="B64" s="270"/>
      <c r="C64" s="69">
        <f>B9</f>
        <v>9.5000000000000001E-2</v>
      </c>
      <c r="D64" s="26"/>
      <c r="E64" s="13"/>
      <c r="G64" s="269" t="s">
        <v>113</v>
      </c>
      <c r="H64" s="270"/>
      <c r="I64" s="149">
        <f>'5 Yr ATCF'!B43</f>
        <v>0.19694115035641402</v>
      </c>
    </row>
    <row r="66" spans="1:3" outlineLevel="1">
      <c r="A66" t="s">
        <v>180</v>
      </c>
    </row>
    <row r="67" spans="1:3" outlineLevel="1"/>
    <row r="68" spans="1:3" outlineLevel="1">
      <c r="A68" s="23" t="s">
        <v>315</v>
      </c>
      <c r="B68" s="19">
        <f>-B6</f>
        <v>-1200000</v>
      </c>
    </row>
    <row r="69" spans="1:3" outlineLevel="1">
      <c r="A69" s="23" t="s">
        <v>181</v>
      </c>
      <c r="B69" s="19">
        <f>B23</f>
        <v>120000</v>
      </c>
    </row>
    <row r="70" spans="1:3" outlineLevel="1">
      <c r="A70" s="23" t="s">
        <v>121</v>
      </c>
      <c r="B70" s="19">
        <f>C23</f>
        <v>128430</v>
      </c>
    </row>
    <row r="71" spans="1:3" outlineLevel="1">
      <c r="A71" s="23" t="s">
        <v>122</v>
      </c>
      <c r="B71" s="19">
        <f>D23</f>
        <v>143494.74</v>
      </c>
    </row>
    <row r="72" spans="1:3" outlineLevel="1">
      <c r="A72" s="23" t="s">
        <v>97</v>
      </c>
      <c r="B72" s="19">
        <f>E23</f>
        <v>153460.49940000003</v>
      </c>
    </row>
    <row r="73" spans="1:3" outlineLevel="1">
      <c r="A73" s="23" t="s">
        <v>98</v>
      </c>
      <c r="B73" s="19">
        <f>F23+F28-F29</f>
        <v>1631346.4916164805</v>
      </c>
      <c r="C73" s="19"/>
    </row>
  </sheetData>
  <mergeCells count="15">
    <mergeCell ref="A64:B64"/>
    <mergeCell ref="G64:H64"/>
    <mergeCell ref="A61:E61"/>
    <mergeCell ref="G61:I61"/>
    <mergeCell ref="A62:B62"/>
    <mergeCell ref="G62:H62"/>
    <mergeCell ref="A63:B63"/>
    <mergeCell ref="D63:E63"/>
    <mergeCell ref="G63:H63"/>
    <mergeCell ref="A2:L2"/>
    <mergeCell ref="A5:B5"/>
    <mergeCell ref="D5:E5"/>
    <mergeCell ref="G5:H5"/>
    <mergeCell ref="D10:E10"/>
    <mergeCell ref="G10:H10"/>
  </mergeCells>
  <phoneticPr fontId="14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Variable Rates</vt:lpstr>
      <vt:lpstr>APOD</vt:lpstr>
      <vt:lpstr>10 Yr Ratios</vt:lpstr>
      <vt:lpstr>10 Yr BTCF</vt:lpstr>
      <vt:lpstr>10 Yr ATCF</vt:lpstr>
      <vt:lpstr>10 Yr Unleveraged ATCF</vt:lpstr>
      <vt:lpstr>10 Yr IRR Profile &amp; Partition</vt:lpstr>
      <vt:lpstr>10 Yr IRR MIRR GPV NPV</vt:lpstr>
      <vt:lpstr>5 Yr BTCF</vt:lpstr>
      <vt:lpstr>5 Yr ATCF</vt:lpstr>
      <vt:lpstr>5 Yr Unleveraged ATCF</vt:lpstr>
      <vt:lpstr>5 Yr IRR Profile &amp; Partition</vt:lpstr>
      <vt:lpstr>5 Yr IRR MIRR GPV NPV</vt:lpstr>
    </vt:vector>
  </TitlesOfParts>
  <Company>University of Denver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Nick Schlag</cp:lastModifiedBy>
  <dcterms:created xsi:type="dcterms:W3CDTF">2009-04-15T06:52:13Z</dcterms:created>
  <dcterms:modified xsi:type="dcterms:W3CDTF">2014-01-03T02:41:07Z</dcterms:modified>
</cp:coreProperties>
</file>